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<sst xmlns="http://schemas.openxmlformats.org/spreadsheetml/2006/main" count="302" uniqueCount="197">
  <si>
    <t>Załącznik Nr 21</t>
  </si>
  <si>
    <t xml:space="preserve">Wykonanie </t>
  </si>
  <si>
    <t>Plan 3 kw.</t>
  </si>
  <si>
    <t>Wykonanie na dzień 31.12.2013 r.</t>
  </si>
  <si>
    <t>Lp.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</si>
  <si>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</si>
  <si>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</si>
  <si>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</si>
  <si>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</si>
  <si>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</si>
  <si>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</si>
  <si>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</si>
  <si>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</si>
  <si>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</si>
  <si>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</si>
  <si>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</si>
  <si>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</si>
  <si>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</si>
  <si>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</si>
  <si>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</si>
  <si>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</si>
  <si>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</si>
  <si>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</si>
  <si>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</si>
  <si>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</si>
  <si>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</si>
  <si>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</si>
  <si>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</si>
  <si>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</si>
  <si>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</si>
  <si>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</si>
  <si>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</si>
  <si>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</si>
  <si>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</si>
  <si>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</si>
  <si>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</si>
  <si>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</si>
  <si>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</si>
  <si>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</si>
  <si>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</si>
  <si>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</si>
  <si>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</si>
  <si>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</si>
  <si>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</si>
  <si>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</si>
  <si>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</si>
  <si>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</si>
  <si>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</si>
  <si>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</si>
  <si>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</si>
  <si>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</si>
  <si>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</si>
  <si>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</si>
  <si>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</si>
  <si>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</si>
  <si>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</si>
  <si>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</si>
  <si>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</si>
  <si>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</si>
  <si>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</si>
  <si>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</si>
  <si>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</si>
  <si>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</si>
  <si>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</si>
  <si>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</si>
  <si>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</si>
  <si>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</si>
  <si>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</si>
  <si>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</si>
  <si>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</si>
  <si>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</si>
  <si>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</si>
  <si>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</si>
  <si>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</si>
  <si>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</si>
  <si>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</si>
  <si>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</si>
  <si>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</si>
  <si>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</si>
  <si>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</si>
  <si>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</si>
  <si>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</si>
  <si>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</si>
  <si>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</si>
  <si>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</si>
  <si>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</si>
  <si>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</si>
  <si>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</si>
  <si>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</si>
  <si>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</si>
  <si>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</si>
  <si>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</si>
  <si>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</si>
  <si>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</si>
  <si>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</si>
  <si>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</si>
  <si>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</si>
  <si>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</si>
  <si>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</si>
  <si>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</si>
  <si>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</si>
  <si>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</si>
  <si>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</si>
  <si>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</si>
  <si>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</si>
  <si>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</si>
  <si>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</si>
  <si>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</si>
  <si>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</si>
  <si>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</si>
  <si>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</si>
  <si>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</si>
  <si>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</si>
  <si>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</si>
  <si>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</si>
  <si>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</si>
  <si>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</si>
  <si>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</si>
  <si>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</si>
  <si>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</si>
  <si>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</si>
  <si>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</si>
  <si>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</si>
  <si>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</si>
  <si>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</si>
  <si>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</si>
  <si>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</si>
  <si>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</si>
  <si>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</si>
  <si>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</si>
  <si>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</si>
  <si>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</si>
  <si>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</si>
  <si>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</si>
  <si>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</si>
  <si>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</si>
  <si>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</si>
  <si>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</si>
  <si>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</si>
  <si>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</si>
  <si>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</si>
  <si>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</si>
  <si>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</si>
  <si>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</si>
  <si>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</si>
  <si>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</si>
  <si>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</si>
  <si>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</si>
  <si>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</si>
  <si>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</si>
  <si>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</si>
  <si>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</si>
  <si>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</si>
  <si>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</si>
  <si>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</si>
  <si>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</si>
  <si>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</si>
  <si>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</si>
  <si>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</si>
  <si>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</si>
  <si>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</si>
  <si>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</si>
  <si>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</si>
  <si>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</si>
  <si>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</si>
  <si>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</si>
  <si>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</si>
  <si>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</si>
  <si>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</si>
  <si>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</si>
  <si>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</si>
  <si>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</si>
  <si>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</si>
  <si>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</si>
  <si>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</si>
  <si>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</si>
  <si>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</si>
  <si>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</si>
  <si>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</si>
  <si>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</si>
  <si>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</si>
  <si>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</si>
  <si>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</si>
  <si>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</si>
  <si>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</si>
  <si>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</si>
  <si>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</si>
  <si>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</si>
  <si>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Dane dotyczące emitowanych obligacji przychodowych</t>
  </si>
  <si>
    <t>15.1</t>
  </si>
  <si>
    <t>Środki z przedsięwzięcia gromadzone na rachunku bankowym,  w tym:</t>
  </si>
  <si>
    <t>15.1.1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</si>
  <si>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</si>
  <si>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</si>
  <si>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</si>
  <si>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t>do Uchwały Nr XLIV/288/2014</t>
  </si>
  <si>
    <t>z dnia 27 czerwca 2014 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</si>
</sst>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%;[Red]\-0.00%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Czcionka tekstu podstawowego"/>
      <family val="2"/>
    </font>
    <font>
      <b/>
      <i/>
      <sz val="6"/>
      <color indexed="10"/>
      <name val="Czcionka tekstu podstawowego"/>
      <family val="0"/>
    </font>
    <font>
      <b/>
      <sz val="6"/>
      <color indexed="8"/>
      <name val="Czcionka tekstu podstawowego"/>
      <family val="0"/>
    </font>
    <font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/>
    </xf>
    <xf numFmtId="49" fontId="3" fillId="33" borderId="11" xfId="51" applyNumberFormat="1" applyFont="1" applyFill="1" applyBorder="1" applyAlignment="1">
      <alignment horizontal="center" vertical="center"/>
      <protection/>
    </xf>
    <xf numFmtId="49" fontId="3" fillId="33" borderId="12" xfId="51" applyNumberFormat="1" applyFont="1" applyFill="1" applyBorder="1" applyAlignment="1">
      <alignment horizontal="center" vertical="center"/>
      <protection/>
    </xf>
    <xf numFmtId="1" fontId="3" fillId="33" borderId="13" xfId="51" applyNumberFormat="1" applyFont="1" applyFill="1" applyBorder="1" applyAlignment="1">
      <alignment horizontal="center" vertical="center" wrapText="1"/>
      <protection/>
    </xf>
    <xf numFmtId="1" fontId="3" fillId="33" borderId="14" xfId="51" applyNumberFormat="1" applyFont="1" applyFill="1" applyBorder="1" applyAlignment="1">
      <alignment horizontal="center" vertical="center" wrapText="1"/>
      <protection/>
    </xf>
    <xf numFmtId="1" fontId="3" fillId="33" borderId="15" xfId="51" applyNumberFormat="1" applyFont="1" applyFill="1" applyBorder="1" applyAlignment="1">
      <alignment horizontal="center" vertical="center"/>
      <protection/>
    </xf>
    <xf numFmtId="1" fontId="3" fillId="33" borderId="13" xfId="51" applyNumberFormat="1" applyFont="1" applyFill="1" applyBorder="1" applyAlignment="1">
      <alignment horizontal="center" vertical="center"/>
      <protection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164" fontId="3" fillId="0" borderId="18" xfId="51" applyNumberFormat="1" applyFont="1" applyFill="1" applyBorder="1" applyAlignment="1">
      <alignment vertical="center" shrinkToFit="1"/>
      <protection/>
    </xf>
    <xf numFmtId="164" fontId="3" fillId="0" borderId="19" xfId="51" applyNumberFormat="1" applyFont="1" applyFill="1" applyBorder="1" applyAlignment="1">
      <alignment vertical="center" shrinkToFit="1"/>
      <protection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 indent="1"/>
    </xf>
    <xf numFmtId="164" fontId="2" fillId="0" borderId="18" xfId="51" applyNumberFormat="1" applyFont="1" applyFill="1" applyBorder="1" applyAlignment="1">
      <alignment vertical="center" shrinkToFit="1"/>
      <protection/>
    </xf>
    <xf numFmtId="164" fontId="2" fillId="0" borderId="19" xfId="51" applyNumberFormat="1" applyFont="1" applyFill="1" applyBorder="1" applyAlignment="1">
      <alignment vertical="center" shrinkToFit="1"/>
      <protection/>
    </xf>
    <xf numFmtId="0" fontId="2" fillId="0" borderId="20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3"/>
    </xf>
    <xf numFmtId="0" fontId="2" fillId="0" borderId="20" xfId="0" applyFont="1" applyBorder="1" applyAlignment="1">
      <alignment horizontal="left" vertical="center" wrapText="1" indent="4"/>
    </xf>
    <xf numFmtId="164" fontId="3" fillId="0" borderId="18" xfId="51" applyNumberFormat="1" applyFont="1" applyFill="1" applyBorder="1" applyAlignment="1">
      <alignment horizontal="center" vertical="center" shrinkToFit="1"/>
      <protection/>
    </xf>
    <xf numFmtId="164" fontId="3" fillId="0" borderId="19" xfId="51" applyNumberFormat="1" applyFont="1" applyFill="1" applyBorder="1" applyAlignment="1">
      <alignment horizontal="center" vertical="center" shrinkToFit="1"/>
      <protection/>
    </xf>
    <xf numFmtId="165" fontId="2" fillId="0" borderId="18" xfId="51" applyNumberFormat="1" applyFont="1" applyFill="1" applyBorder="1" applyAlignment="1">
      <alignment vertical="center" shrinkToFit="1"/>
      <protection/>
    </xf>
    <xf numFmtId="165" fontId="2" fillId="0" borderId="19" xfId="51" applyNumberFormat="1" applyFont="1" applyFill="1" applyBorder="1" applyAlignment="1">
      <alignment vertical="center" shrinkToFit="1"/>
      <protection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0" fontId="2" fillId="0" borderId="18" xfId="51" applyNumberFormat="1" applyFont="1" applyFill="1" applyBorder="1" applyAlignment="1">
      <alignment horizontal="center" vertical="center" shrinkToFit="1"/>
      <protection/>
    </xf>
    <xf numFmtId="0" fontId="2" fillId="0" borderId="19" xfId="51" applyNumberFormat="1" applyFont="1" applyFill="1" applyBorder="1" applyAlignment="1">
      <alignment horizontal="center" vertical="center" shrinkToFit="1"/>
      <protection/>
    </xf>
    <xf numFmtId="0" fontId="2" fillId="0" borderId="20" xfId="0" applyFont="1" applyBorder="1" applyAlignment="1" quotePrefix="1">
      <alignment horizontal="left" vertical="center" wrapText="1" indent="2"/>
    </xf>
    <xf numFmtId="0" fontId="2" fillId="0" borderId="20" xfId="0" applyFont="1" applyBorder="1" applyAlignment="1" quotePrefix="1">
      <alignment horizontal="left" vertical="center" wrapText="1" indent="3"/>
    </xf>
    <xf numFmtId="0" fontId="3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 indent="1"/>
    </xf>
    <xf numFmtId="164" fontId="2" fillId="0" borderId="23" xfId="51" applyNumberFormat="1" applyFont="1" applyFill="1" applyBorder="1" applyAlignment="1">
      <alignment vertical="center" shrinkToFit="1"/>
      <protection/>
    </xf>
    <xf numFmtId="164" fontId="2" fillId="0" borderId="24" xfId="51" applyNumberFormat="1" applyFont="1" applyFill="1" applyBorder="1" applyAlignment="1">
      <alignment vertical="center" shrinkToFit="1"/>
      <protection/>
    </xf>
    <xf numFmtId="164" fontId="3" fillId="0" borderId="19" xfId="51" applyNumberFormat="1" applyFont="1" applyFill="1" applyBorder="1" applyAlignment="1">
      <alignment vertical="center" shrinkToFit="1"/>
      <protection/>
    </xf>
    <xf numFmtId="164" fontId="3" fillId="0" borderId="25" xfId="51" applyNumberFormat="1" applyFont="1" applyFill="1" applyBorder="1" applyAlignment="1">
      <alignment vertical="center" shrinkToFit="1"/>
      <protection/>
    </xf>
    <xf numFmtId="164" fontId="2" fillId="0" borderId="19" xfId="51" applyNumberFormat="1" applyFont="1" applyFill="1" applyBorder="1" applyAlignment="1">
      <alignment vertical="center" shrinkToFit="1"/>
      <protection/>
    </xf>
    <xf numFmtId="164" fontId="2" fillId="0" borderId="25" xfId="51" applyNumberFormat="1" applyFont="1" applyFill="1" applyBorder="1" applyAlignment="1">
      <alignment vertical="center" shrinkToFit="1"/>
      <protection/>
    </xf>
    <xf numFmtId="164" fontId="3" fillId="0" borderId="19" xfId="51" applyNumberFormat="1" applyFont="1" applyFill="1" applyBorder="1" applyAlignment="1">
      <alignment horizontal="center" vertical="center" shrinkToFit="1"/>
      <protection/>
    </xf>
    <xf numFmtId="164" fontId="3" fillId="0" borderId="25" xfId="51" applyNumberFormat="1" applyFont="1" applyFill="1" applyBorder="1" applyAlignment="1">
      <alignment horizontal="center" vertical="center" shrinkToFit="1"/>
      <protection/>
    </xf>
    <xf numFmtId="165" fontId="2" fillId="0" borderId="19" xfId="51" applyNumberFormat="1" applyFont="1" applyFill="1" applyBorder="1" applyAlignment="1">
      <alignment vertical="center" shrinkToFit="1"/>
      <protection/>
    </xf>
    <xf numFmtId="165" fontId="2" fillId="0" borderId="25" xfId="51" applyNumberFormat="1" applyFont="1" applyFill="1" applyBorder="1" applyAlignment="1">
      <alignment vertical="center" shrinkToFit="1"/>
      <protection/>
    </xf>
    <xf numFmtId="164" fontId="2" fillId="0" borderId="24" xfId="51" applyNumberFormat="1" applyFont="1" applyFill="1" applyBorder="1" applyAlignment="1">
      <alignment vertical="center" shrinkToFit="1"/>
      <protection/>
    </xf>
    <xf numFmtId="164" fontId="2" fillId="0" borderId="26" xfId="51" applyNumberFormat="1" applyFont="1" applyFill="1" applyBorder="1" applyAlignment="1">
      <alignment vertical="center" shrinkToFit="1"/>
      <protection/>
    </xf>
    <xf numFmtId="0" fontId="3" fillId="0" borderId="0" xfId="0" applyFont="1" applyFill="1" applyBorder="1" applyAlignment="1" applyProtection="1">
      <alignment vertical="center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6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Bestia\ReportToolTemporary\75bb0b099ffc4c438b8748157deddc3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  <sheetName val="DaneZrodloweDoWsk"/>
    </sheetNames>
    <sheetDataSet>
      <sheetData sheetId="4">
        <row r="1">
          <cell r="N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130" zoomScaleNormal="130" zoomScalePageLayoutView="0" workbookViewId="0" topLeftCell="A1">
      <selection activeCell="E4" sqref="E4"/>
    </sheetView>
  </sheetViews>
  <sheetFormatPr defaultColWidth="9.140625" defaultRowHeight="12.75"/>
  <cols>
    <col min="1" max="1" width="4.140625" style="0" customWidth="1"/>
    <col min="2" max="2" width="32.00390625" style="0" customWidth="1"/>
    <col min="3" max="4" width="7.7109375" style="0" customWidth="1"/>
    <col min="5" max="5" width="8.00390625" style="0" customWidth="1"/>
    <col min="6" max="6" width="8.140625" style="0" customWidth="1"/>
    <col min="7" max="7" width="8.421875" style="0" customWidth="1"/>
    <col min="8" max="8" width="9.00390625" style="0" customWidth="1"/>
    <col min="9" max="9" width="8.140625" style="0" customWidth="1"/>
    <col min="10" max="10" width="8.421875" style="0" customWidth="1"/>
    <col min="11" max="11" width="9.00390625" style="0" customWidth="1"/>
    <col min="13" max="13" width="8.00390625" style="0" customWidth="1"/>
    <col min="15" max="15" width="9.421875" style="0" customWidth="1"/>
  </cols>
  <sheetData>
    <row r="1" spans="1:15" ht="12.75">
      <c r="A1" s="1"/>
      <c r="B1" s="54" t="s">
        <v>0</v>
      </c>
      <c r="C1" s="2"/>
      <c r="D1" s="2"/>
      <c r="E1" s="2"/>
      <c r="F1" s="2"/>
      <c r="G1" s="3"/>
      <c r="H1" s="4"/>
      <c r="I1" s="3"/>
      <c r="J1" s="5"/>
      <c r="K1" s="5"/>
      <c r="L1" s="6"/>
      <c r="M1" s="6"/>
      <c r="N1" s="6"/>
      <c r="O1" s="6"/>
    </row>
    <row r="2" spans="1:15" ht="12.75">
      <c r="A2" s="2"/>
      <c r="B2" s="2" t="s">
        <v>195</v>
      </c>
      <c r="C2" s="7"/>
      <c r="D2" s="7"/>
      <c r="E2" s="2"/>
      <c r="F2" s="2"/>
      <c r="G2" s="3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3" t="s">
        <v>196</v>
      </c>
      <c r="C3" s="8" t="s">
        <v>2</v>
      </c>
      <c r="D3" s="8" t="s">
        <v>1</v>
      </c>
      <c r="E3" s="9" t="str">
        <f>"WIELOLETNIA PROGNOZA FINANSOWA NA LATA 2013-2024"</f>
        <v>WIELOLETNIA PROGNOZA FINANSOWA NA LATA 2013-2024</v>
      </c>
      <c r="F3" s="10"/>
      <c r="G3" s="10"/>
      <c r="H3" s="10"/>
      <c r="I3" s="10"/>
      <c r="J3" s="6"/>
      <c r="K3" s="6" t="s">
        <v>3</v>
      </c>
      <c r="L3" s="11"/>
      <c r="M3" s="6"/>
      <c r="N3" s="6"/>
      <c r="O3" s="6"/>
    </row>
    <row r="4" spans="1:15" ht="12.75">
      <c r="A4" s="12" t="s">
        <v>4</v>
      </c>
      <c r="B4" s="13" t="s">
        <v>5</v>
      </c>
      <c r="C4" s="14">
        <f>+D4</f>
        <v>-1</v>
      </c>
      <c r="D4" s="15">
        <f>+E4-1</f>
        <v>-1</v>
      </c>
      <c r="E4" s="16">
        <f>+'[1]DaneZrodlowe'!$N$1</f>
        <v>0</v>
      </c>
      <c r="F4" s="17">
        <f>+E4+1</f>
        <v>1</v>
      </c>
      <c r="G4" s="17">
        <f aca="true" t="shared" si="0" ref="G4:O4">+F4+1</f>
        <v>2</v>
      </c>
      <c r="H4" s="17">
        <f t="shared" si="0"/>
        <v>3</v>
      </c>
      <c r="I4" s="17">
        <f t="shared" si="0"/>
        <v>4</v>
      </c>
      <c r="J4" s="17">
        <f t="shared" si="0"/>
        <v>5</v>
      </c>
      <c r="K4" s="17">
        <f t="shared" si="0"/>
        <v>6</v>
      </c>
      <c r="L4" s="17">
        <f t="shared" si="0"/>
        <v>7</v>
      </c>
      <c r="M4" s="17">
        <f t="shared" si="0"/>
        <v>8</v>
      </c>
      <c r="N4" s="17">
        <f t="shared" si="0"/>
        <v>9</v>
      </c>
      <c r="O4" s="17">
        <f t="shared" si="0"/>
        <v>10</v>
      </c>
    </row>
    <row r="5" spans="1:15" ht="12.75">
      <c r="A5" s="18">
        <v>1</v>
      </c>
      <c r="B5" s="19" t="s">
        <v>6</v>
      </c>
      <c r="C5" s="44">
        <f>23774974.27</f>
        <v>23774974.27</v>
      </c>
      <c r="D5" s="45">
        <f>22485015.34</f>
        <v>22485015.34</v>
      </c>
      <c r="E5" s="20">
        <f>23866267.57</f>
        <v>23866267.57</v>
      </c>
      <c r="F5" s="21">
        <f>26358484</f>
        <v>26358484</v>
      </c>
      <c r="G5" s="21">
        <f>27290488</f>
        <v>27290488</v>
      </c>
      <c r="H5" s="21">
        <f>27270202</f>
        <v>27270202</v>
      </c>
      <c r="I5" s="21">
        <f>27033863</f>
        <v>27033863</v>
      </c>
      <c r="J5" s="21">
        <f>29979205</f>
        <v>29979205</v>
      </c>
      <c r="K5" s="21">
        <f>29317800</f>
        <v>29317800</v>
      </c>
      <c r="L5" s="21">
        <f>27558903</f>
        <v>27558903</v>
      </c>
      <c r="M5" s="21">
        <f>26667800</f>
        <v>26667800</v>
      </c>
      <c r="N5" s="21">
        <f>27167869</f>
        <v>27167869</v>
      </c>
      <c r="O5" s="21">
        <f>27087500</f>
        <v>27087500</v>
      </c>
    </row>
    <row r="6" spans="1:15" ht="12.75">
      <c r="A6" s="22" t="s">
        <v>7</v>
      </c>
      <c r="B6" s="23" t="s">
        <v>8</v>
      </c>
      <c r="C6" s="46">
        <f>22524257.27</f>
        <v>22524257.27</v>
      </c>
      <c r="D6" s="47">
        <f>21780232.14</f>
        <v>21780232.14</v>
      </c>
      <c r="E6" s="24">
        <f>22179848.57</f>
        <v>22179848.57</v>
      </c>
      <c r="F6" s="25">
        <f>25908484</f>
        <v>25908484</v>
      </c>
      <c r="G6" s="25">
        <f>26640488</f>
        <v>26640488</v>
      </c>
      <c r="H6" s="25">
        <f>26770202</f>
        <v>26770202</v>
      </c>
      <c r="I6" s="25">
        <f>26533863</f>
        <v>26533863</v>
      </c>
      <c r="J6" s="25">
        <f>29579205</f>
        <v>29579205</v>
      </c>
      <c r="K6" s="25">
        <f>28917800</f>
        <v>28917800</v>
      </c>
      <c r="L6" s="25">
        <f>27158903</f>
        <v>27158903</v>
      </c>
      <c r="M6" s="25">
        <f>26267800</f>
        <v>26267800</v>
      </c>
      <c r="N6" s="25">
        <f>27167869</f>
        <v>27167869</v>
      </c>
      <c r="O6" s="25">
        <f>26987500</f>
        <v>26987500</v>
      </c>
    </row>
    <row r="7" spans="1:15" ht="16.5">
      <c r="A7" s="22" t="s">
        <v>9</v>
      </c>
      <c r="B7" s="26" t="s">
        <v>10</v>
      </c>
      <c r="C7" s="46">
        <f>3786102</f>
        <v>3786102</v>
      </c>
      <c r="D7" s="47">
        <f>3648024</f>
        <v>3648024</v>
      </c>
      <c r="E7" s="24">
        <f>3795914</f>
        <v>3795914</v>
      </c>
      <c r="F7" s="25">
        <f>4055672</f>
        <v>4055672</v>
      </c>
      <c r="G7" s="25">
        <f>4177342</f>
        <v>4177342</v>
      </c>
      <c r="H7" s="25">
        <f>4302662</f>
        <v>4302662</v>
      </c>
      <c r="I7" s="25">
        <f>4431742</f>
        <v>4431742</v>
      </c>
      <c r="J7" s="25">
        <f>4564694</f>
        <v>4564694</v>
      </c>
      <c r="K7" s="25">
        <f>4701634</f>
        <v>4701634</v>
      </c>
      <c r="L7" s="25">
        <f>4842683</f>
        <v>4842683</v>
      </c>
      <c r="M7" s="25">
        <f>4987963</f>
        <v>4987963</v>
      </c>
      <c r="N7" s="25">
        <f>4875630</f>
        <v>4875630</v>
      </c>
      <c r="O7" s="25">
        <f>4968479</f>
        <v>4968479</v>
      </c>
    </row>
    <row r="8" spans="1:15" ht="16.5">
      <c r="A8" s="22" t="s">
        <v>11</v>
      </c>
      <c r="B8" s="26" t="s">
        <v>12</v>
      </c>
      <c r="C8" s="46">
        <f>70000</f>
        <v>70000</v>
      </c>
      <c r="D8" s="47">
        <f>23913.48</f>
        <v>23913.48</v>
      </c>
      <c r="E8" s="24">
        <f>5000</f>
        <v>5000</v>
      </c>
      <c r="F8" s="25">
        <f>74984</f>
        <v>74984</v>
      </c>
      <c r="G8" s="25">
        <f>77233</f>
        <v>77233</v>
      </c>
      <c r="H8" s="25">
        <f>79550</f>
        <v>79550</v>
      </c>
      <c r="I8" s="25">
        <f>81936</f>
        <v>81936</v>
      </c>
      <c r="J8" s="25">
        <f>84394</f>
        <v>84394</v>
      </c>
      <c r="K8" s="25">
        <f>86925</f>
        <v>86925</v>
      </c>
      <c r="L8" s="25">
        <f>89532</f>
        <v>89532</v>
      </c>
      <c r="M8" s="25">
        <f>92217</f>
        <v>92217</v>
      </c>
      <c r="N8" s="25">
        <f>93756</f>
        <v>93756</v>
      </c>
      <c r="O8" s="25">
        <f>97652</f>
        <v>97652</v>
      </c>
    </row>
    <row r="9" spans="1:15" ht="12.75">
      <c r="A9" s="22" t="s">
        <v>13</v>
      </c>
      <c r="B9" s="26" t="s">
        <v>14</v>
      </c>
      <c r="C9" s="46">
        <f>5923302</f>
        <v>5923302</v>
      </c>
      <c r="D9" s="47">
        <f>5883302</f>
        <v>5883302</v>
      </c>
      <c r="E9" s="24">
        <f>6318144</f>
        <v>6318144</v>
      </c>
      <c r="F9" s="25">
        <f>5284398</f>
        <v>5284398</v>
      </c>
      <c r="G9" s="25">
        <f>5442930</f>
        <v>5442930</v>
      </c>
      <c r="H9" s="25">
        <f>5606218</f>
        <v>5606218</v>
      </c>
      <c r="I9" s="25">
        <f>5774404</f>
        <v>5774404</v>
      </c>
      <c r="J9" s="25">
        <f>5947636</f>
        <v>5947636</v>
      </c>
      <c r="K9" s="25">
        <f>6126065</f>
        <v>6126065</v>
      </c>
      <c r="L9" s="25">
        <f>6309846</f>
        <v>6309846</v>
      </c>
      <c r="M9" s="25">
        <f>6499141</f>
        <v>6499141</v>
      </c>
      <c r="N9" s="25">
        <f>6598456</f>
        <v>6598456</v>
      </c>
      <c r="O9" s="25">
        <f>6798324</f>
        <v>6798324</v>
      </c>
    </row>
    <row r="10" spans="1:15" ht="12.75">
      <c r="A10" s="22" t="s">
        <v>15</v>
      </c>
      <c r="B10" s="27" t="s">
        <v>16</v>
      </c>
      <c r="C10" s="46">
        <f>3236725</f>
        <v>3236725</v>
      </c>
      <c r="D10" s="47">
        <f>2716811.5</f>
        <v>2716811.5</v>
      </c>
      <c r="E10" s="24">
        <f>3190809</f>
        <v>3190809</v>
      </c>
      <c r="F10" s="25">
        <f>3467180</f>
        <v>3467180</v>
      </c>
      <c r="G10" s="25">
        <f>3571195</f>
        <v>3571195</v>
      </c>
      <c r="H10" s="25">
        <f>3678331</f>
        <v>3678331</v>
      </c>
      <c r="I10" s="25">
        <f>3788681</f>
        <v>3788681</v>
      </c>
      <c r="J10" s="25">
        <f>3902341</f>
        <v>3902341</v>
      </c>
      <c r="K10" s="25">
        <f>4019411</f>
        <v>4019411</v>
      </c>
      <c r="L10" s="25">
        <f>4139993</f>
        <v>4139993</v>
      </c>
      <c r="M10" s="25">
        <f>4264192</f>
        <v>4264192</v>
      </c>
      <c r="N10" s="25">
        <f>4432856</f>
        <v>4432856</v>
      </c>
      <c r="O10" s="25">
        <f>4578456</f>
        <v>4578456</v>
      </c>
    </row>
    <row r="11" spans="1:15" ht="12.75">
      <c r="A11" s="22" t="s">
        <v>17</v>
      </c>
      <c r="B11" s="26" t="s">
        <v>18</v>
      </c>
      <c r="C11" s="46">
        <f>5895327</f>
        <v>5895327</v>
      </c>
      <c r="D11" s="47">
        <f>5895327</f>
        <v>5895327</v>
      </c>
      <c r="E11" s="24">
        <f>5905082</f>
        <v>5905082</v>
      </c>
      <c r="F11" s="25">
        <f>6315074</f>
        <v>6315074</v>
      </c>
      <c r="G11" s="25">
        <f>6504526</f>
        <v>6504526</v>
      </c>
      <c r="H11" s="25">
        <f>6699662</f>
        <v>6699662</v>
      </c>
      <c r="I11" s="25">
        <f>6900652</f>
        <v>6900652</v>
      </c>
      <c r="J11" s="25">
        <f>7107671</f>
        <v>7107671</v>
      </c>
      <c r="K11" s="25">
        <f>7320901</f>
        <v>7320901</v>
      </c>
      <c r="L11" s="25">
        <f>7540528</f>
        <v>7540528</v>
      </c>
      <c r="M11" s="25">
        <f>7766743</f>
        <v>7766743</v>
      </c>
      <c r="N11" s="25">
        <f>7999743</f>
        <v>7999743</v>
      </c>
      <c r="O11" s="25">
        <f>8238624</f>
        <v>8238624</v>
      </c>
    </row>
    <row r="12" spans="1:15" ht="12.75">
      <c r="A12" s="22" t="s">
        <v>19</v>
      </c>
      <c r="B12" s="26" t="s">
        <v>20</v>
      </c>
      <c r="C12" s="46">
        <f>862049.27</f>
        <v>862049.27</v>
      </c>
      <c r="D12" s="47">
        <f>3421998.51</f>
        <v>3421998.51</v>
      </c>
      <c r="E12" s="24">
        <f>2662364.57</f>
        <v>2662364.57</v>
      </c>
      <c r="F12" s="25">
        <f>2754900</f>
        <v>2754900</v>
      </c>
      <c r="G12" s="25">
        <f>2837547</f>
        <v>2837547</v>
      </c>
      <c r="H12" s="25">
        <f>2922673</f>
        <v>2922673</v>
      </c>
      <c r="I12" s="25">
        <f>3010353</f>
        <v>3010353</v>
      </c>
      <c r="J12" s="25">
        <f>3100663</f>
        <v>3100663</v>
      </c>
      <c r="K12" s="25">
        <f>3193682</f>
        <v>3193682</v>
      </c>
      <c r="L12" s="25">
        <f>3289492</f>
        <v>3289492</v>
      </c>
      <c r="M12" s="25">
        <f>3388176</f>
        <v>3388176</v>
      </c>
      <c r="N12" s="25">
        <f>3469234</f>
        <v>3469234</v>
      </c>
      <c r="O12" s="25">
        <f>3587457</f>
        <v>3587457</v>
      </c>
    </row>
    <row r="13" spans="1:15" ht="12.75">
      <c r="A13" s="22" t="s">
        <v>21</v>
      </c>
      <c r="B13" s="23" t="s">
        <v>22</v>
      </c>
      <c r="C13" s="46">
        <f>1250717</f>
        <v>1250717</v>
      </c>
      <c r="D13" s="47">
        <f>704783.2</f>
        <v>704783.2</v>
      </c>
      <c r="E13" s="24">
        <f>1686419</f>
        <v>1686419</v>
      </c>
      <c r="F13" s="25">
        <f>450000</f>
        <v>450000</v>
      </c>
      <c r="G13" s="25">
        <f>650000</f>
        <v>650000</v>
      </c>
      <c r="H13" s="25">
        <f>500000</f>
        <v>500000</v>
      </c>
      <c r="I13" s="25">
        <f>500000</f>
        <v>500000</v>
      </c>
      <c r="J13" s="25">
        <f>400000</f>
        <v>400000</v>
      </c>
      <c r="K13" s="25">
        <f>400000</f>
        <v>400000</v>
      </c>
      <c r="L13" s="25">
        <f>400000</f>
        <v>400000</v>
      </c>
      <c r="M13" s="25">
        <f>400000</f>
        <v>400000</v>
      </c>
      <c r="N13" s="25">
        <f>0</f>
        <v>0</v>
      </c>
      <c r="O13" s="25">
        <f>100000</f>
        <v>100000</v>
      </c>
    </row>
    <row r="14" spans="1:15" ht="12.75">
      <c r="A14" s="22" t="s">
        <v>23</v>
      </c>
      <c r="B14" s="26" t="s">
        <v>24</v>
      </c>
      <c r="C14" s="46">
        <f>503600</f>
        <v>503600</v>
      </c>
      <c r="D14" s="47">
        <f>298296.2</f>
        <v>298296.2</v>
      </c>
      <c r="E14" s="24">
        <f>413000</f>
        <v>413000</v>
      </c>
      <c r="F14" s="25">
        <f>150000</f>
        <v>150000</v>
      </c>
      <c r="G14" s="25">
        <f>150000</f>
        <v>150000</v>
      </c>
      <c r="H14" s="25">
        <f aca="true" t="shared" si="1" ref="H14:M14">100000</f>
        <v>100000</v>
      </c>
      <c r="I14" s="25">
        <f t="shared" si="1"/>
        <v>100000</v>
      </c>
      <c r="J14" s="25">
        <f t="shared" si="1"/>
        <v>100000</v>
      </c>
      <c r="K14" s="25">
        <f t="shared" si="1"/>
        <v>100000</v>
      </c>
      <c r="L14" s="25">
        <f t="shared" si="1"/>
        <v>100000</v>
      </c>
      <c r="M14" s="25">
        <f t="shared" si="1"/>
        <v>100000</v>
      </c>
      <c r="N14" s="25">
        <f>0</f>
        <v>0</v>
      </c>
      <c r="O14" s="25">
        <f>0</f>
        <v>0</v>
      </c>
    </row>
    <row r="15" spans="1:15" ht="16.5">
      <c r="A15" s="22" t="s">
        <v>25</v>
      </c>
      <c r="B15" s="26" t="s">
        <v>26</v>
      </c>
      <c r="C15" s="46">
        <f>747117</f>
        <v>747117</v>
      </c>
      <c r="D15" s="47">
        <f>131000</f>
        <v>131000</v>
      </c>
      <c r="E15" s="24">
        <f>1273419</f>
        <v>1273419</v>
      </c>
      <c r="F15" s="25">
        <f>300000</f>
        <v>300000</v>
      </c>
      <c r="G15" s="25">
        <f>500000</f>
        <v>500000</v>
      </c>
      <c r="H15" s="25">
        <f>400000</f>
        <v>400000</v>
      </c>
      <c r="I15" s="25">
        <f>400000</f>
        <v>400000</v>
      </c>
      <c r="J15" s="25">
        <f>300000</f>
        <v>300000</v>
      </c>
      <c r="K15" s="25">
        <f>300000</f>
        <v>300000</v>
      </c>
      <c r="L15" s="25">
        <f>300000</f>
        <v>300000</v>
      </c>
      <c r="M15" s="25">
        <f>300000</f>
        <v>300000</v>
      </c>
      <c r="N15" s="25">
        <f>0</f>
        <v>0</v>
      </c>
      <c r="O15" s="25">
        <f>0</f>
        <v>0</v>
      </c>
    </row>
    <row r="16" spans="1:15" ht="12.75">
      <c r="A16" s="18">
        <v>2</v>
      </c>
      <c r="B16" s="19" t="s">
        <v>27</v>
      </c>
      <c r="C16" s="44">
        <f>25650762.27</f>
        <v>25650762.27</v>
      </c>
      <c r="D16" s="45">
        <f>23148354.49</f>
        <v>23148354.49</v>
      </c>
      <c r="E16" s="20">
        <f>25705336.57</f>
        <v>25705336.57</v>
      </c>
      <c r="F16" s="21">
        <f>25770984</f>
        <v>25770984</v>
      </c>
      <c r="G16" s="21">
        <f>26852988</f>
        <v>26852988</v>
      </c>
      <c r="H16" s="21">
        <f>25843902</f>
        <v>25843902</v>
      </c>
      <c r="I16" s="21">
        <f>25614463</f>
        <v>25614463</v>
      </c>
      <c r="J16" s="21">
        <f>28411999</f>
        <v>28411999</v>
      </c>
      <c r="K16" s="21">
        <f>27705600</f>
        <v>27705600</v>
      </c>
      <c r="L16" s="21">
        <f>25832392.35</f>
        <v>25832392.35</v>
      </c>
      <c r="M16" s="21">
        <f>24941289.35</f>
        <v>24941289.35</v>
      </c>
      <c r="N16" s="21">
        <f>25441289.35</f>
        <v>25441289.35</v>
      </c>
      <c r="O16" s="21">
        <f>26583146.48</f>
        <v>26583146.48</v>
      </c>
    </row>
    <row r="17" spans="1:15" ht="12.75">
      <c r="A17" s="22" t="s">
        <v>28</v>
      </c>
      <c r="B17" s="23" t="s">
        <v>29</v>
      </c>
      <c r="C17" s="46">
        <f>22469257.27</f>
        <v>22469257.27</v>
      </c>
      <c r="D17" s="47">
        <f>21080349.03</f>
        <v>21080349.03</v>
      </c>
      <c r="E17" s="24">
        <f>22086002.57</f>
        <v>22086002.57</v>
      </c>
      <c r="F17" s="25">
        <f>21348484</f>
        <v>21348484</v>
      </c>
      <c r="G17" s="25">
        <f>24552988</f>
        <v>24552988</v>
      </c>
      <c r="H17" s="25">
        <f>22921402</f>
        <v>22921402</v>
      </c>
      <c r="I17" s="25">
        <f>23414463</f>
        <v>23414463</v>
      </c>
      <c r="J17" s="25">
        <f>26411999</f>
        <v>26411999</v>
      </c>
      <c r="K17" s="25">
        <f>25705600</f>
        <v>25705600</v>
      </c>
      <c r="L17" s="25">
        <f>23332392.35</f>
        <v>23332392.35</v>
      </c>
      <c r="M17" s="25">
        <f>22141289.35</f>
        <v>22141289.35</v>
      </c>
      <c r="N17" s="25">
        <f>22841289.35</f>
        <v>22841289.35</v>
      </c>
      <c r="O17" s="25">
        <f>23683146.48</f>
        <v>23683146.48</v>
      </c>
    </row>
    <row r="18" spans="1:15" ht="12.75">
      <c r="A18" s="22" t="s">
        <v>30</v>
      </c>
      <c r="B18" s="26" t="s">
        <v>31</v>
      </c>
      <c r="C18" s="46">
        <f>7418</f>
        <v>7418</v>
      </c>
      <c r="D18" s="47">
        <f>0</f>
        <v>0</v>
      </c>
      <c r="E18" s="24">
        <f>171726</f>
        <v>171726</v>
      </c>
      <c r="F18" s="25">
        <f>171726</f>
        <v>171726</v>
      </c>
      <c r="G18" s="25">
        <f>171726</f>
        <v>171726</v>
      </c>
      <c r="H18" s="25">
        <f>171726</f>
        <v>171726</v>
      </c>
      <c r="I18" s="25">
        <f>160946</f>
        <v>160946</v>
      </c>
      <c r="J18" s="25">
        <f>145878</f>
        <v>145878</v>
      </c>
      <c r="K18" s="25">
        <f>145878</f>
        <v>145878</v>
      </c>
      <c r="L18" s="25">
        <f>145878</f>
        <v>145878</v>
      </c>
      <c r="M18" s="25">
        <f>145876</f>
        <v>145876</v>
      </c>
      <c r="N18" s="25">
        <f>0</f>
        <v>0</v>
      </c>
      <c r="O18" s="25">
        <f>0</f>
        <v>0</v>
      </c>
    </row>
    <row r="19" spans="1:15" ht="24.75">
      <c r="A19" s="22" t="s">
        <v>32</v>
      </c>
      <c r="B19" s="27" t="s">
        <v>33</v>
      </c>
      <c r="C19" s="46">
        <f>0</f>
        <v>0</v>
      </c>
      <c r="D19" s="47">
        <f>0</f>
        <v>0</v>
      </c>
      <c r="E19" s="24">
        <f>0</f>
        <v>0</v>
      </c>
      <c r="F19" s="25">
        <f>0</f>
        <v>0</v>
      </c>
      <c r="G19" s="25">
        <f>0</f>
        <v>0</v>
      </c>
      <c r="H19" s="25">
        <f>0</f>
        <v>0</v>
      </c>
      <c r="I19" s="25">
        <f>0</f>
        <v>0</v>
      </c>
      <c r="J19" s="25">
        <f>0</f>
        <v>0</v>
      </c>
      <c r="K19" s="25">
        <f>0</f>
        <v>0</v>
      </c>
      <c r="L19" s="25">
        <f>0</f>
        <v>0</v>
      </c>
      <c r="M19" s="25">
        <f>0</f>
        <v>0</v>
      </c>
      <c r="N19" s="25">
        <f>0</f>
        <v>0</v>
      </c>
      <c r="O19" s="25">
        <f>0</f>
        <v>0</v>
      </c>
    </row>
    <row r="20" spans="1:15" ht="41.25">
      <c r="A20" s="22" t="s">
        <v>34</v>
      </c>
      <c r="B20" s="26" t="s">
        <v>35</v>
      </c>
      <c r="C20" s="46">
        <f>0</f>
        <v>0</v>
      </c>
      <c r="D20" s="47">
        <f>0</f>
        <v>0</v>
      </c>
      <c r="E20" s="24">
        <f>0</f>
        <v>0</v>
      </c>
      <c r="F20" s="25">
        <f>0</f>
        <v>0</v>
      </c>
      <c r="G20" s="25">
        <f>0</f>
        <v>0</v>
      </c>
      <c r="H20" s="25">
        <f>0</f>
        <v>0</v>
      </c>
      <c r="I20" s="25">
        <f>0</f>
        <v>0</v>
      </c>
      <c r="J20" s="25">
        <f>0</f>
        <v>0</v>
      </c>
      <c r="K20" s="25">
        <f>0</f>
        <v>0</v>
      </c>
      <c r="L20" s="25">
        <f>0</f>
        <v>0</v>
      </c>
      <c r="M20" s="25">
        <f>0</f>
        <v>0</v>
      </c>
      <c r="N20" s="25">
        <f>0</f>
        <v>0</v>
      </c>
      <c r="O20" s="25">
        <f>0</f>
        <v>0</v>
      </c>
    </row>
    <row r="21" spans="1:15" ht="12.75">
      <c r="A21" s="22" t="s">
        <v>36</v>
      </c>
      <c r="B21" s="26" t="s">
        <v>37</v>
      </c>
      <c r="C21" s="46">
        <f>652000</f>
        <v>652000</v>
      </c>
      <c r="D21" s="47">
        <f>657637.8</f>
        <v>657637.8</v>
      </c>
      <c r="E21" s="24">
        <f>500000</f>
        <v>500000</v>
      </c>
      <c r="F21" s="25">
        <f>256622</f>
        <v>256622</v>
      </c>
      <c r="G21" s="25">
        <f>366890</f>
        <v>366890</v>
      </c>
      <c r="H21" s="25">
        <f>296640</f>
        <v>296640</v>
      </c>
      <c r="I21" s="25">
        <f>268700</f>
        <v>268700</v>
      </c>
      <c r="J21" s="25">
        <f>236700</f>
        <v>236700</v>
      </c>
      <c r="K21" s="25">
        <f>217994</f>
        <v>217994</v>
      </c>
      <c r="L21" s="25">
        <f>174054</f>
        <v>174054</v>
      </c>
      <c r="M21" s="25">
        <f>130531</f>
        <v>130531</v>
      </c>
      <c r="N21" s="25">
        <f>85000</f>
        <v>85000</v>
      </c>
      <c r="O21" s="25">
        <f>50000</f>
        <v>50000</v>
      </c>
    </row>
    <row r="22" spans="1:15" ht="16.5">
      <c r="A22" s="22" t="s">
        <v>38</v>
      </c>
      <c r="B22" s="27" t="s">
        <v>39</v>
      </c>
      <c r="C22" s="46">
        <f>652000</f>
        <v>652000</v>
      </c>
      <c r="D22" s="47">
        <f>657637.8</f>
        <v>657637.8</v>
      </c>
      <c r="E22" s="24">
        <f>500000</f>
        <v>500000</v>
      </c>
      <c r="F22" s="25">
        <f>256622</f>
        <v>256622</v>
      </c>
      <c r="G22" s="25">
        <f>366890</f>
        <v>366890</v>
      </c>
      <c r="H22" s="25">
        <f>296640</f>
        <v>296640</v>
      </c>
      <c r="I22" s="25">
        <f>268700</f>
        <v>268700</v>
      </c>
      <c r="J22" s="25">
        <f>236700</f>
        <v>236700</v>
      </c>
      <c r="K22" s="25">
        <f>217994</f>
        <v>217994</v>
      </c>
      <c r="L22" s="25">
        <f>174054</f>
        <v>174054</v>
      </c>
      <c r="M22" s="25">
        <f>130531</f>
        <v>130531</v>
      </c>
      <c r="N22" s="25">
        <f>85000</f>
        <v>85000</v>
      </c>
      <c r="O22" s="25">
        <f>50000</f>
        <v>50000</v>
      </c>
    </row>
    <row r="23" spans="1:15" ht="49.5">
      <c r="A23" s="22" t="s">
        <v>40</v>
      </c>
      <c r="B23" s="28" t="s">
        <v>41</v>
      </c>
      <c r="C23" s="46">
        <f>0</f>
        <v>0</v>
      </c>
      <c r="D23" s="47">
        <f>0</f>
        <v>0</v>
      </c>
      <c r="E23" s="24">
        <f>0</f>
        <v>0</v>
      </c>
      <c r="F23" s="25">
        <f>0</f>
        <v>0</v>
      </c>
      <c r="G23" s="25">
        <f>0</f>
        <v>0</v>
      </c>
      <c r="H23" s="25">
        <f>0</f>
        <v>0</v>
      </c>
      <c r="I23" s="25">
        <f>0</f>
        <v>0</v>
      </c>
      <c r="J23" s="25">
        <f>0</f>
        <v>0</v>
      </c>
      <c r="K23" s="25">
        <f>0</f>
        <v>0</v>
      </c>
      <c r="L23" s="25">
        <f>0</f>
        <v>0</v>
      </c>
      <c r="M23" s="25">
        <f>0</f>
        <v>0</v>
      </c>
      <c r="N23" s="25">
        <f>0</f>
        <v>0</v>
      </c>
      <c r="O23" s="25">
        <f>0</f>
        <v>0</v>
      </c>
    </row>
    <row r="24" spans="1:15" ht="33">
      <c r="A24" s="22" t="s">
        <v>42</v>
      </c>
      <c r="B24" s="28" t="s">
        <v>43</v>
      </c>
      <c r="C24" s="46">
        <f>0</f>
        <v>0</v>
      </c>
      <c r="D24" s="47">
        <f>0</f>
        <v>0</v>
      </c>
      <c r="E24" s="24">
        <f>0</f>
        <v>0</v>
      </c>
      <c r="F24" s="25">
        <f>0</f>
        <v>0</v>
      </c>
      <c r="G24" s="25">
        <f>0</f>
        <v>0</v>
      </c>
      <c r="H24" s="25">
        <f>0</f>
        <v>0</v>
      </c>
      <c r="I24" s="25">
        <f>0</f>
        <v>0</v>
      </c>
      <c r="J24" s="25">
        <f>0</f>
        <v>0</v>
      </c>
      <c r="K24" s="25">
        <f>0</f>
        <v>0</v>
      </c>
      <c r="L24" s="25">
        <f>0</f>
        <v>0</v>
      </c>
      <c r="M24" s="25">
        <f>0</f>
        <v>0</v>
      </c>
      <c r="N24" s="25">
        <f>0</f>
        <v>0</v>
      </c>
      <c r="O24" s="25">
        <f>0</f>
        <v>0</v>
      </c>
    </row>
    <row r="25" spans="1:15" ht="12.75">
      <c r="A25" s="22" t="s">
        <v>44</v>
      </c>
      <c r="B25" s="23" t="s">
        <v>45</v>
      </c>
      <c r="C25" s="46">
        <f>3181505</f>
        <v>3181505</v>
      </c>
      <c r="D25" s="47">
        <f>2068005.46</f>
        <v>2068005.46</v>
      </c>
      <c r="E25" s="24">
        <f>3619334</f>
        <v>3619334</v>
      </c>
      <c r="F25" s="25">
        <f>4422500</f>
        <v>4422500</v>
      </c>
      <c r="G25" s="25">
        <f>2300000</f>
        <v>2300000</v>
      </c>
      <c r="H25" s="25">
        <f>2922500</f>
        <v>2922500</v>
      </c>
      <c r="I25" s="25">
        <f>2200000</f>
        <v>2200000</v>
      </c>
      <c r="J25" s="25">
        <f>2000000</f>
        <v>2000000</v>
      </c>
      <c r="K25" s="25">
        <f>2000000</f>
        <v>2000000</v>
      </c>
      <c r="L25" s="25">
        <f>2500000</f>
        <v>2500000</v>
      </c>
      <c r="M25" s="25">
        <f>2800000</f>
        <v>2800000</v>
      </c>
      <c r="N25" s="25">
        <f>2600000</f>
        <v>2600000</v>
      </c>
      <c r="O25" s="25">
        <f>2900000</f>
        <v>2900000</v>
      </c>
    </row>
    <row r="26" spans="1:15" ht="12.75">
      <c r="A26" s="18">
        <v>3</v>
      </c>
      <c r="B26" s="19" t="s">
        <v>46</v>
      </c>
      <c r="C26" s="44">
        <f>-1875788</f>
        <v>-1875788</v>
      </c>
      <c r="D26" s="45">
        <f>-663339.15</f>
        <v>-663339.15</v>
      </c>
      <c r="E26" s="20">
        <f>-1839069</f>
        <v>-1839069</v>
      </c>
      <c r="F26" s="21">
        <f>587500</f>
        <v>587500</v>
      </c>
      <c r="G26" s="21">
        <f>437500</f>
        <v>437500</v>
      </c>
      <c r="H26" s="21">
        <f>1426300</f>
        <v>1426300</v>
      </c>
      <c r="I26" s="21">
        <f>1419400</f>
        <v>1419400</v>
      </c>
      <c r="J26" s="21">
        <f>1567206</f>
        <v>1567206</v>
      </c>
      <c r="K26" s="21">
        <f>1612200</f>
        <v>1612200</v>
      </c>
      <c r="L26" s="21">
        <f>1726510.65</f>
        <v>1726510.65</v>
      </c>
      <c r="M26" s="21">
        <f>1726510.65</f>
        <v>1726510.65</v>
      </c>
      <c r="N26" s="21">
        <f>1726579.65</f>
        <v>1726579.65</v>
      </c>
      <c r="O26" s="21">
        <f>504353.52</f>
        <v>504353.52</v>
      </c>
    </row>
    <row r="27" spans="1:15" ht="12.75">
      <c r="A27" s="18">
        <v>4</v>
      </c>
      <c r="B27" s="19" t="s">
        <v>47</v>
      </c>
      <c r="C27" s="44">
        <f>8149861</f>
        <v>8149861</v>
      </c>
      <c r="D27" s="45">
        <f>6921037.88</f>
        <v>6921037.88</v>
      </c>
      <c r="E27" s="20">
        <f>2126569</f>
        <v>2126569</v>
      </c>
      <c r="F27" s="21">
        <f>0</f>
        <v>0</v>
      </c>
      <c r="G27" s="21">
        <f>0</f>
        <v>0</v>
      </c>
      <c r="H27" s="21">
        <f>0</f>
        <v>0</v>
      </c>
      <c r="I27" s="21">
        <f>0</f>
        <v>0</v>
      </c>
      <c r="J27" s="21">
        <f>0</f>
        <v>0</v>
      </c>
      <c r="K27" s="21">
        <f>0</f>
        <v>0</v>
      </c>
      <c r="L27" s="21">
        <f>0</f>
        <v>0</v>
      </c>
      <c r="M27" s="21">
        <f>0</f>
        <v>0</v>
      </c>
      <c r="N27" s="21">
        <f>0</f>
        <v>0</v>
      </c>
      <c r="O27" s="21">
        <f>0</f>
        <v>0</v>
      </c>
    </row>
    <row r="28" spans="1:15" ht="12.75">
      <c r="A28" s="22" t="s">
        <v>48</v>
      </c>
      <c r="B28" s="23" t="s">
        <v>49</v>
      </c>
      <c r="C28" s="46">
        <f>0</f>
        <v>0</v>
      </c>
      <c r="D28" s="47">
        <f>0</f>
        <v>0</v>
      </c>
      <c r="E28" s="24">
        <f>0</f>
        <v>0</v>
      </c>
      <c r="F28" s="25">
        <f>0</f>
        <v>0</v>
      </c>
      <c r="G28" s="25">
        <f>0</f>
        <v>0</v>
      </c>
      <c r="H28" s="25">
        <f>0</f>
        <v>0</v>
      </c>
      <c r="I28" s="25">
        <f>0</f>
        <v>0</v>
      </c>
      <c r="J28" s="25">
        <f>0</f>
        <v>0</v>
      </c>
      <c r="K28" s="25">
        <f>0</f>
        <v>0</v>
      </c>
      <c r="L28" s="25">
        <f>0</f>
        <v>0</v>
      </c>
      <c r="M28" s="25">
        <f>0</f>
        <v>0</v>
      </c>
      <c r="N28" s="25">
        <f>0</f>
        <v>0</v>
      </c>
      <c r="O28" s="25">
        <f>0</f>
        <v>0</v>
      </c>
    </row>
    <row r="29" spans="1:15" ht="12.75">
      <c r="A29" s="22" t="s">
        <v>50</v>
      </c>
      <c r="B29" s="26" t="s">
        <v>51</v>
      </c>
      <c r="C29" s="46">
        <f>0</f>
        <v>0</v>
      </c>
      <c r="D29" s="47">
        <f>0</f>
        <v>0</v>
      </c>
      <c r="E29" s="24">
        <f>0</f>
        <v>0</v>
      </c>
      <c r="F29" s="25">
        <f>0</f>
        <v>0</v>
      </c>
      <c r="G29" s="25">
        <f>0</f>
        <v>0</v>
      </c>
      <c r="H29" s="25">
        <f>0</f>
        <v>0</v>
      </c>
      <c r="I29" s="25">
        <f>0</f>
        <v>0</v>
      </c>
      <c r="J29" s="25">
        <f>0</f>
        <v>0</v>
      </c>
      <c r="K29" s="25">
        <f>0</f>
        <v>0</v>
      </c>
      <c r="L29" s="25">
        <f>0</f>
        <v>0</v>
      </c>
      <c r="M29" s="25">
        <f>0</f>
        <v>0</v>
      </c>
      <c r="N29" s="25">
        <f>0</f>
        <v>0</v>
      </c>
      <c r="O29" s="25">
        <f>0</f>
        <v>0</v>
      </c>
    </row>
    <row r="30" spans="1:15" ht="12.75">
      <c r="A30" s="22" t="s">
        <v>52</v>
      </c>
      <c r="B30" s="23" t="s">
        <v>53</v>
      </c>
      <c r="C30" s="46">
        <f>0</f>
        <v>0</v>
      </c>
      <c r="D30" s="47">
        <f>0</f>
        <v>0</v>
      </c>
      <c r="E30" s="24">
        <f>0</f>
        <v>0</v>
      </c>
      <c r="F30" s="25">
        <f>0</f>
        <v>0</v>
      </c>
      <c r="G30" s="25">
        <f>0</f>
        <v>0</v>
      </c>
      <c r="H30" s="25">
        <f>0</f>
        <v>0</v>
      </c>
      <c r="I30" s="25">
        <f>0</f>
        <v>0</v>
      </c>
      <c r="J30" s="25">
        <f>0</f>
        <v>0</v>
      </c>
      <c r="K30" s="25">
        <f>0</f>
        <v>0</v>
      </c>
      <c r="L30" s="25">
        <f>0</f>
        <v>0</v>
      </c>
      <c r="M30" s="25">
        <f>0</f>
        <v>0</v>
      </c>
      <c r="N30" s="25">
        <f>0</f>
        <v>0</v>
      </c>
      <c r="O30" s="25">
        <f>0</f>
        <v>0</v>
      </c>
    </row>
    <row r="31" spans="1:15" ht="12.75">
      <c r="A31" s="22" t="s">
        <v>54</v>
      </c>
      <c r="B31" s="26" t="s">
        <v>51</v>
      </c>
      <c r="C31" s="46">
        <f>0</f>
        <v>0</v>
      </c>
      <c r="D31" s="47">
        <f>0</f>
        <v>0</v>
      </c>
      <c r="E31" s="24">
        <f>0</f>
        <v>0</v>
      </c>
      <c r="F31" s="25">
        <f>0</f>
        <v>0</v>
      </c>
      <c r="G31" s="25">
        <f>0</f>
        <v>0</v>
      </c>
      <c r="H31" s="25">
        <f>0</f>
        <v>0</v>
      </c>
      <c r="I31" s="25">
        <f>0</f>
        <v>0</v>
      </c>
      <c r="J31" s="25">
        <f>0</f>
        <v>0</v>
      </c>
      <c r="K31" s="25">
        <f>0</f>
        <v>0</v>
      </c>
      <c r="L31" s="25">
        <f>0</f>
        <v>0</v>
      </c>
      <c r="M31" s="25">
        <f>0</f>
        <v>0</v>
      </c>
      <c r="N31" s="25">
        <f>0</f>
        <v>0</v>
      </c>
      <c r="O31" s="25">
        <f>0</f>
        <v>0</v>
      </c>
    </row>
    <row r="32" spans="1:15" ht="12.75">
      <c r="A32" s="22" t="s">
        <v>55</v>
      </c>
      <c r="B32" s="23" t="s">
        <v>56</v>
      </c>
      <c r="C32" s="46">
        <f>8149861</f>
        <v>8149861</v>
      </c>
      <c r="D32" s="47">
        <f>6921037.88</f>
        <v>6921037.88</v>
      </c>
      <c r="E32" s="24">
        <f>2126569</f>
        <v>2126569</v>
      </c>
      <c r="F32" s="25">
        <f>0</f>
        <v>0</v>
      </c>
      <c r="G32" s="25">
        <f>0</f>
        <v>0</v>
      </c>
      <c r="H32" s="25">
        <f>0</f>
        <v>0</v>
      </c>
      <c r="I32" s="25">
        <f>0</f>
        <v>0</v>
      </c>
      <c r="J32" s="25">
        <f>0</f>
        <v>0</v>
      </c>
      <c r="K32" s="25">
        <f>0</f>
        <v>0</v>
      </c>
      <c r="L32" s="25">
        <f>0</f>
        <v>0</v>
      </c>
      <c r="M32" s="25">
        <f>0</f>
        <v>0</v>
      </c>
      <c r="N32" s="25">
        <f>0</f>
        <v>0</v>
      </c>
      <c r="O32" s="25">
        <f>0</f>
        <v>0</v>
      </c>
    </row>
    <row r="33" spans="1:15" ht="12.75">
      <c r="A33" s="22" t="s">
        <v>57</v>
      </c>
      <c r="B33" s="26" t="s">
        <v>51</v>
      </c>
      <c r="C33" s="46">
        <f>0</f>
        <v>0</v>
      </c>
      <c r="D33" s="47">
        <f>-663339.15</f>
        <v>-663339.15</v>
      </c>
      <c r="E33" s="24">
        <f>1839069</f>
        <v>1839069</v>
      </c>
      <c r="F33" s="25">
        <f>0</f>
        <v>0</v>
      </c>
      <c r="G33" s="25">
        <f>0</f>
        <v>0</v>
      </c>
      <c r="H33" s="25">
        <f>0</f>
        <v>0</v>
      </c>
      <c r="I33" s="25">
        <f>0</f>
        <v>0</v>
      </c>
      <c r="J33" s="25">
        <f>0</f>
        <v>0</v>
      </c>
      <c r="K33" s="25">
        <f>0</f>
        <v>0</v>
      </c>
      <c r="L33" s="25">
        <f>0</f>
        <v>0</v>
      </c>
      <c r="M33" s="25">
        <f>0</f>
        <v>0</v>
      </c>
      <c r="N33" s="25">
        <f>0</f>
        <v>0</v>
      </c>
      <c r="O33" s="25">
        <f>0</f>
        <v>0</v>
      </c>
    </row>
    <row r="34" spans="1:15" ht="12.75">
      <c r="A34" s="22" t="s">
        <v>58</v>
      </c>
      <c r="B34" s="23" t="s">
        <v>59</v>
      </c>
      <c r="C34" s="46">
        <f>0</f>
        <v>0</v>
      </c>
      <c r="D34" s="47">
        <f>0</f>
        <v>0</v>
      </c>
      <c r="E34" s="24">
        <f>0</f>
        <v>0</v>
      </c>
      <c r="F34" s="25">
        <f>0</f>
        <v>0</v>
      </c>
      <c r="G34" s="25">
        <f>0</f>
        <v>0</v>
      </c>
      <c r="H34" s="25">
        <f>0</f>
        <v>0</v>
      </c>
      <c r="I34" s="25">
        <f>0</f>
        <v>0</v>
      </c>
      <c r="J34" s="25">
        <f>0</f>
        <v>0</v>
      </c>
      <c r="K34" s="25">
        <f>0</f>
        <v>0</v>
      </c>
      <c r="L34" s="25">
        <f>0</f>
        <v>0</v>
      </c>
      <c r="M34" s="25">
        <f>0</f>
        <v>0</v>
      </c>
      <c r="N34" s="25">
        <f>0</f>
        <v>0</v>
      </c>
      <c r="O34" s="25">
        <f>0</f>
        <v>0</v>
      </c>
    </row>
    <row r="35" spans="1:15" ht="12.75">
      <c r="A35" s="22" t="s">
        <v>60</v>
      </c>
      <c r="B35" s="26" t="s">
        <v>51</v>
      </c>
      <c r="C35" s="46">
        <f>0</f>
        <v>0</v>
      </c>
      <c r="D35" s="47">
        <f>0</f>
        <v>0</v>
      </c>
      <c r="E35" s="24">
        <f>0</f>
        <v>0</v>
      </c>
      <c r="F35" s="25">
        <f>0</f>
        <v>0</v>
      </c>
      <c r="G35" s="25">
        <f>0</f>
        <v>0</v>
      </c>
      <c r="H35" s="25">
        <f>0</f>
        <v>0</v>
      </c>
      <c r="I35" s="25">
        <f>0</f>
        <v>0</v>
      </c>
      <c r="J35" s="25">
        <f>0</f>
        <v>0</v>
      </c>
      <c r="K35" s="25">
        <f>0</f>
        <v>0</v>
      </c>
      <c r="L35" s="25">
        <f>0</f>
        <v>0</v>
      </c>
      <c r="M35" s="25">
        <f>0</f>
        <v>0</v>
      </c>
      <c r="N35" s="25">
        <f>0</f>
        <v>0</v>
      </c>
      <c r="O35" s="25">
        <f>0</f>
        <v>0</v>
      </c>
    </row>
    <row r="36" spans="1:15" ht="12.75">
      <c r="A36" s="18">
        <v>5</v>
      </c>
      <c r="B36" s="19" t="s">
        <v>61</v>
      </c>
      <c r="C36" s="44">
        <f>6274073</f>
        <v>6274073</v>
      </c>
      <c r="D36" s="45">
        <f>6207850</f>
        <v>6207850</v>
      </c>
      <c r="E36" s="20">
        <f>287500</f>
        <v>287500</v>
      </c>
      <c r="F36" s="21">
        <f>587500</f>
        <v>587500</v>
      </c>
      <c r="G36" s="21">
        <f>437500</f>
        <v>437500</v>
      </c>
      <c r="H36" s="21">
        <f>1426300</f>
        <v>1426300</v>
      </c>
      <c r="I36" s="21">
        <f>1419400</f>
        <v>1419400</v>
      </c>
      <c r="J36" s="21">
        <f>1567206</f>
        <v>1567206</v>
      </c>
      <c r="K36" s="21">
        <f>1612200</f>
        <v>1612200</v>
      </c>
      <c r="L36" s="21">
        <f>1726510.65</f>
        <v>1726510.65</v>
      </c>
      <c r="M36" s="21">
        <f>1726510.65</f>
        <v>1726510.65</v>
      </c>
      <c r="N36" s="21">
        <f>1726579.65</f>
        <v>1726579.65</v>
      </c>
      <c r="O36" s="21">
        <f>504353.52</f>
        <v>504353.52</v>
      </c>
    </row>
    <row r="37" spans="1:15" ht="16.5">
      <c r="A37" s="22" t="s">
        <v>62</v>
      </c>
      <c r="B37" s="23" t="s">
        <v>63</v>
      </c>
      <c r="C37" s="46">
        <f>6274073</f>
        <v>6274073</v>
      </c>
      <c r="D37" s="47">
        <f>6207850</f>
        <v>6207850</v>
      </c>
      <c r="E37" s="24">
        <f>287500</f>
        <v>287500</v>
      </c>
      <c r="F37" s="25">
        <f>587500</f>
        <v>587500</v>
      </c>
      <c r="G37" s="25">
        <f>437500</f>
        <v>437500</v>
      </c>
      <c r="H37" s="25">
        <f>1426300</f>
        <v>1426300</v>
      </c>
      <c r="I37" s="25">
        <f>1419400</f>
        <v>1419400</v>
      </c>
      <c r="J37" s="25">
        <f>1567206</f>
        <v>1567206</v>
      </c>
      <c r="K37" s="25">
        <f>1612200</f>
        <v>1612200</v>
      </c>
      <c r="L37" s="25">
        <f>1726510.65</f>
        <v>1726510.65</v>
      </c>
      <c r="M37" s="25">
        <f>1726510.65</f>
        <v>1726510.65</v>
      </c>
      <c r="N37" s="25">
        <f>1726579.65</f>
        <v>1726579.65</v>
      </c>
      <c r="O37" s="25">
        <f>504353.52</f>
        <v>504353.52</v>
      </c>
    </row>
    <row r="38" spans="1:15" ht="24.75">
      <c r="A38" s="22" t="s">
        <v>64</v>
      </c>
      <c r="B38" s="26" t="s">
        <v>65</v>
      </c>
      <c r="C38" s="46">
        <f>0</f>
        <v>0</v>
      </c>
      <c r="D38" s="47">
        <f>0</f>
        <v>0</v>
      </c>
      <c r="E38" s="24">
        <f>0</f>
        <v>0</v>
      </c>
      <c r="F38" s="25">
        <f>0</f>
        <v>0</v>
      </c>
      <c r="G38" s="25">
        <f>0</f>
        <v>0</v>
      </c>
      <c r="H38" s="25">
        <f>0</f>
        <v>0</v>
      </c>
      <c r="I38" s="25">
        <f>0</f>
        <v>0</v>
      </c>
      <c r="J38" s="25">
        <f>0</f>
        <v>0</v>
      </c>
      <c r="K38" s="25">
        <f>0</f>
        <v>0</v>
      </c>
      <c r="L38" s="25">
        <f>0</f>
        <v>0</v>
      </c>
      <c r="M38" s="25">
        <f>0</f>
        <v>0</v>
      </c>
      <c r="N38" s="25">
        <f>0</f>
        <v>0</v>
      </c>
      <c r="O38" s="25">
        <f>0</f>
        <v>0</v>
      </c>
    </row>
    <row r="39" spans="1:15" ht="16.5">
      <c r="A39" s="22" t="s">
        <v>66</v>
      </c>
      <c r="B39" s="27" t="s">
        <v>67</v>
      </c>
      <c r="C39" s="46">
        <f>0</f>
        <v>0</v>
      </c>
      <c r="D39" s="47">
        <f>0</f>
        <v>0</v>
      </c>
      <c r="E39" s="24">
        <f>0</f>
        <v>0</v>
      </c>
      <c r="F39" s="25">
        <f>0</f>
        <v>0</v>
      </c>
      <c r="G39" s="25">
        <f>0</f>
        <v>0</v>
      </c>
      <c r="H39" s="25">
        <f>0</f>
        <v>0</v>
      </c>
      <c r="I39" s="25">
        <f>0</f>
        <v>0</v>
      </c>
      <c r="J39" s="25">
        <f>0</f>
        <v>0</v>
      </c>
      <c r="K39" s="25">
        <f>0</f>
        <v>0</v>
      </c>
      <c r="L39" s="25">
        <f>0</f>
        <v>0</v>
      </c>
      <c r="M39" s="25">
        <f>0</f>
        <v>0</v>
      </c>
      <c r="N39" s="25">
        <f>0</f>
        <v>0</v>
      </c>
      <c r="O39" s="25">
        <f>0</f>
        <v>0</v>
      </c>
    </row>
    <row r="40" spans="1:15" ht="16.5">
      <c r="A40" s="22" t="s">
        <v>68</v>
      </c>
      <c r="B40" s="27" t="s">
        <v>69</v>
      </c>
      <c r="C40" s="46">
        <f>0</f>
        <v>0</v>
      </c>
      <c r="D40" s="47">
        <f>0</f>
        <v>0</v>
      </c>
      <c r="E40" s="24">
        <f>0</f>
        <v>0</v>
      </c>
      <c r="F40" s="25">
        <f>0</f>
        <v>0</v>
      </c>
      <c r="G40" s="25">
        <f>0</f>
        <v>0</v>
      </c>
      <c r="H40" s="25">
        <f>0</f>
        <v>0</v>
      </c>
      <c r="I40" s="25">
        <f>0</f>
        <v>0</v>
      </c>
      <c r="J40" s="25">
        <f>0</f>
        <v>0</v>
      </c>
      <c r="K40" s="25">
        <f>0</f>
        <v>0</v>
      </c>
      <c r="L40" s="25">
        <f>0</f>
        <v>0</v>
      </c>
      <c r="M40" s="25">
        <f>0</f>
        <v>0</v>
      </c>
      <c r="N40" s="25">
        <f>0</f>
        <v>0</v>
      </c>
      <c r="O40" s="25">
        <f>0</f>
        <v>0</v>
      </c>
    </row>
    <row r="41" spans="1:15" ht="16.5">
      <c r="A41" s="22" t="s">
        <v>70</v>
      </c>
      <c r="B41" s="27" t="s">
        <v>71</v>
      </c>
      <c r="C41" s="46">
        <f>0</f>
        <v>0</v>
      </c>
      <c r="D41" s="47">
        <f>0</f>
        <v>0</v>
      </c>
      <c r="E41" s="24">
        <f>0</f>
        <v>0</v>
      </c>
      <c r="F41" s="25">
        <f>0</f>
        <v>0</v>
      </c>
      <c r="G41" s="25">
        <f>0</f>
        <v>0</v>
      </c>
      <c r="H41" s="25">
        <f>0</f>
        <v>0</v>
      </c>
      <c r="I41" s="25">
        <f>0</f>
        <v>0</v>
      </c>
      <c r="J41" s="25">
        <f>0</f>
        <v>0</v>
      </c>
      <c r="K41" s="25">
        <f>0</f>
        <v>0</v>
      </c>
      <c r="L41" s="25">
        <f>0</f>
        <v>0</v>
      </c>
      <c r="M41" s="25">
        <f>0</f>
        <v>0</v>
      </c>
      <c r="N41" s="25">
        <f>0</f>
        <v>0</v>
      </c>
      <c r="O41" s="25">
        <f>0</f>
        <v>0</v>
      </c>
    </row>
    <row r="42" spans="1:15" ht="12.75">
      <c r="A42" s="22" t="s">
        <v>72</v>
      </c>
      <c r="B42" s="23" t="s">
        <v>73</v>
      </c>
      <c r="C42" s="46">
        <f>0</f>
        <v>0</v>
      </c>
      <c r="D42" s="47">
        <f>0</f>
        <v>0</v>
      </c>
      <c r="E42" s="24">
        <f>0</f>
        <v>0</v>
      </c>
      <c r="F42" s="25">
        <f>0</f>
        <v>0</v>
      </c>
      <c r="G42" s="25">
        <f>0</f>
        <v>0</v>
      </c>
      <c r="H42" s="25">
        <f>0</f>
        <v>0</v>
      </c>
      <c r="I42" s="25">
        <f>0</f>
        <v>0</v>
      </c>
      <c r="J42" s="25">
        <f>0</f>
        <v>0</v>
      </c>
      <c r="K42" s="25">
        <f>0</f>
        <v>0</v>
      </c>
      <c r="L42" s="25">
        <f>0</f>
        <v>0</v>
      </c>
      <c r="M42" s="25">
        <f>0</f>
        <v>0</v>
      </c>
      <c r="N42" s="25">
        <f>0</f>
        <v>0</v>
      </c>
      <c r="O42" s="25">
        <f>0</f>
        <v>0</v>
      </c>
    </row>
    <row r="43" spans="1:15" ht="12.75">
      <c r="A43" s="18">
        <v>6</v>
      </c>
      <c r="B43" s="19" t="s">
        <v>74</v>
      </c>
      <c r="C43" s="44">
        <f>11875953.59</f>
        <v>11875953.59</v>
      </c>
      <c r="D43" s="45">
        <f>10894991.47</f>
        <v>10894991.47</v>
      </c>
      <c r="E43" s="20">
        <f>12734060.47</f>
        <v>12734060.47</v>
      </c>
      <c r="F43" s="21">
        <f>12146560.47</f>
        <v>12146560.47</v>
      </c>
      <c r="G43" s="21">
        <f>11709060.47</f>
        <v>11709060.47</v>
      </c>
      <c r="H43" s="21">
        <f>10282760.47</f>
        <v>10282760.47</v>
      </c>
      <c r="I43" s="21">
        <f>8863360.47</f>
        <v>8863360.47</v>
      </c>
      <c r="J43" s="21">
        <f>7296154.47</f>
        <v>7296154.47</v>
      </c>
      <c r="K43" s="21">
        <f>5683954.47</f>
        <v>5683954.47</v>
      </c>
      <c r="L43" s="21">
        <f>3957443.82</f>
        <v>3957443.82</v>
      </c>
      <c r="M43" s="21">
        <f>2230933.17</f>
        <v>2230933.17</v>
      </c>
      <c r="N43" s="21">
        <f>504353.52</f>
        <v>504353.52</v>
      </c>
      <c r="O43" s="21">
        <f>0</f>
        <v>0</v>
      </c>
    </row>
    <row r="44" spans="1:15" ht="39">
      <c r="A44" s="18">
        <v>7</v>
      </c>
      <c r="B44" s="19" t="s">
        <v>75</v>
      </c>
      <c r="C44" s="44">
        <f>0</f>
        <v>0</v>
      </c>
      <c r="D44" s="45">
        <f>0</f>
        <v>0</v>
      </c>
      <c r="E44" s="20">
        <f>0</f>
        <v>0</v>
      </c>
      <c r="F44" s="21">
        <f>0</f>
        <v>0</v>
      </c>
      <c r="G44" s="21">
        <f>0</f>
        <v>0</v>
      </c>
      <c r="H44" s="21">
        <f>0</f>
        <v>0</v>
      </c>
      <c r="I44" s="21">
        <f>0</f>
        <v>0</v>
      </c>
      <c r="J44" s="21">
        <f>0</f>
        <v>0</v>
      </c>
      <c r="K44" s="21">
        <f>0</f>
        <v>0</v>
      </c>
      <c r="L44" s="21">
        <f>0</f>
        <v>0</v>
      </c>
      <c r="M44" s="21">
        <f>0</f>
        <v>0</v>
      </c>
      <c r="N44" s="21">
        <f>0</f>
        <v>0</v>
      </c>
      <c r="O44" s="21">
        <f>0</f>
        <v>0</v>
      </c>
    </row>
    <row r="45" spans="1:15" ht="19.5">
      <c r="A45" s="18">
        <v>8</v>
      </c>
      <c r="B45" s="19" t="s">
        <v>76</v>
      </c>
      <c r="C45" s="48" t="s">
        <v>77</v>
      </c>
      <c r="D45" s="49" t="s">
        <v>77</v>
      </c>
      <c r="E45" s="29" t="s">
        <v>77</v>
      </c>
      <c r="F45" s="30" t="s">
        <v>77</v>
      </c>
      <c r="G45" s="30" t="s">
        <v>77</v>
      </c>
      <c r="H45" s="30" t="s">
        <v>77</v>
      </c>
      <c r="I45" s="30" t="s">
        <v>77</v>
      </c>
      <c r="J45" s="30" t="s">
        <v>77</v>
      </c>
      <c r="K45" s="30" t="s">
        <v>77</v>
      </c>
      <c r="L45" s="30" t="s">
        <v>77</v>
      </c>
      <c r="M45" s="30" t="s">
        <v>77</v>
      </c>
      <c r="N45" s="30" t="s">
        <v>77</v>
      </c>
      <c r="O45" s="30" t="s">
        <v>77</v>
      </c>
    </row>
    <row r="46" spans="1:15" ht="16.5">
      <c r="A46" s="22" t="s">
        <v>78</v>
      </c>
      <c r="B46" s="23" t="s">
        <v>79</v>
      </c>
      <c r="C46" s="46">
        <f>55000</f>
        <v>55000</v>
      </c>
      <c r="D46" s="47">
        <f>699883.11</f>
        <v>699883.11</v>
      </c>
      <c r="E46" s="24">
        <f>93846</f>
        <v>93846</v>
      </c>
      <c r="F46" s="25">
        <f>4560000</f>
        <v>4560000</v>
      </c>
      <c r="G46" s="25">
        <f>2087500</f>
        <v>2087500</v>
      </c>
      <c r="H46" s="25">
        <f>3848800</f>
        <v>3848800</v>
      </c>
      <c r="I46" s="25">
        <f>3119400</f>
        <v>3119400</v>
      </c>
      <c r="J46" s="25">
        <f>3167206</f>
        <v>3167206</v>
      </c>
      <c r="K46" s="25">
        <f>3212200</f>
        <v>3212200</v>
      </c>
      <c r="L46" s="25">
        <f>3826510.65</f>
        <v>3826510.65</v>
      </c>
      <c r="M46" s="25">
        <f>4126510.65</f>
        <v>4126510.65</v>
      </c>
      <c r="N46" s="25">
        <f>4326579.65</f>
        <v>4326579.65</v>
      </c>
      <c r="O46" s="25">
        <f>3304353.52</f>
        <v>3304353.52</v>
      </c>
    </row>
    <row r="47" spans="1:15" ht="16.5">
      <c r="A47" s="22" t="s">
        <v>80</v>
      </c>
      <c r="B47" s="23" t="s">
        <v>81</v>
      </c>
      <c r="C47" s="46">
        <f>55000</f>
        <v>55000</v>
      </c>
      <c r="D47" s="47">
        <f>699883.11</f>
        <v>699883.11</v>
      </c>
      <c r="E47" s="24">
        <f>93846</f>
        <v>93846</v>
      </c>
      <c r="F47" s="25">
        <f>4560000</f>
        <v>4560000</v>
      </c>
      <c r="G47" s="25">
        <f>2087500</f>
        <v>2087500</v>
      </c>
      <c r="H47" s="25">
        <f>3848800</f>
        <v>3848800</v>
      </c>
      <c r="I47" s="25">
        <f>3119400</f>
        <v>3119400</v>
      </c>
      <c r="J47" s="25">
        <f>3167206</f>
        <v>3167206</v>
      </c>
      <c r="K47" s="25">
        <f>3212200</f>
        <v>3212200</v>
      </c>
      <c r="L47" s="25">
        <f>3826510.65</f>
        <v>3826510.65</v>
      </c>
      <c r="M47" s="25">
        <f>4126510.65</f>
        <v>4126510.65</v>
      </c>
      <c r="N47" s="25">
        <f>4326579.65</f>
        <v>4326579.65</v>
      </c>
      <c r="O47" s="25">
        <f>3304353.52</f>
        <v>3304353.52</v>
      </c>
    </row>
    <row r="48" spans="1:15" ht="12.75">
      <c r="A48" s="18">
        <v>9</v>
      </c>
      <c r="B48" s="19" t="s">
        <v>82</v>
      </c>
      <c r="C48" s="48" t="s">
        <v>77</v>
      </c>
      <c r="D48" s="49" t="s">
        <v>77</v>
      </c>
      <c r="E48" s="29" t="s">
        <v>77</v>
      </c>
      <c r="F48" s="30" t="s">
        <v>77</v>
      </c>
      <c r="G48" s="30" t="s">
        <v>77</v>
      </c>
      <c r="H48" s="30" t="s">
        <v>77</v>
      </c>
      <c r="I48" s="30" t="s">
        <v>77</v>
      </c>
      <c r="J48" s="30" t="s">
        <v>77</v>
      </c>
      <c r="K48" s="30" t="s">
        <v>77</v>
      </c>
      <c r="L48" s="30" t="s">
        <v>77</v>
      </c>
      <c r="M48" s="30" t="s">
        <v>77</v>
      </c>
      <c r="N48" s="30" t="s">
        <v>77</v>
      </c>
      <c r="O48" s="30" t="s">
        <v>77</v>
      </c>
    </row>
    <row r="49" spans="1:15" ht="41.25">
      <c r="A49" s="22" t="s">
        <v>83</v>
      </c>
      <c r="B49" s="23" t="s">
        <v>84</v>
      </c>
      <c r="C49" s="50">
        <f>0.2916</f>
        <v>0.2916</v>
      </c>
      <c r="D49" s="51">
        <f>0.3053</f>
        <v>0.3053</v>
      </c>
      <c r="E49" s="31">
        <f>0.0402</f>
        <v>0.0402</v>
      </c>
      <c r="F49" s="32">
        <f>0.0385</f>
        <v>0.0385</v>
      </c>
      <c r="G49" s="32">
        <f>0.0358</f>
        <v>0.0358</v>
      </c>
      <c r="H49" s="32">
        <f>0.0695</f>
        <v>0.0695</v>
      </c>
      <c r="I49" s="32">
        <f>0.0684</f>
        <v>0.0684</v>
      </c>
      <c r="J49" s="32">
        <f>0.065</f>
        <v>0.065</v>
      </c>
      <c r="K49" s="32">
        <f>0.0674</f>
        <v>0.0674</v>
      </c>
      <c r="L49" s="32">
        <f>0.0743</f>
        <v>0.0743</v>
      </c>
      <c r="M49" s="32">
        <f>0.0751</f>
        <v>0.0751</v>
      </c>
      <c r="N49" s="32">
        <f>0.0667</f>
        <v>0.0667</v>
      </c>
      <c r="O49" s="32">
        <f>0.0205</f>
        <v>0.0205</v>
      </c>
    </row>
    <row r="50" spans="1:15" ht="41.25">
      <c r="A50" s="22" t="s">
        <v>85</v>
      </c>
      <c r="B50" s="23" t="s">
        <v>86</v>
      </c>
      <c r="C50" s="50">
        <f>0.2916</f>
        <v>0.2916</v>
      </c>
      <c r="D50" s="51">
        <f>0.3053</f>
        <v>0.3053</v>
      </c>
      <c r="E50" s="31">
        <f>0.0402</f>
        <v>0.0402</v>
      </c>
      <c r="F50" s="32">
        <f>0.0385</f>
        <v>0.0385</v>
      </c>
      <c r="G50" s="32">
        <f>0.0358</f>
        <v>0.0358</v>
      </c>
      <c r="H50" s="32">
        <f>0.0695</f>
        <v>0.0695</v>
      </c>
      <c r="I50" s="32">
        <f>0.0684</f>
        <v>0.0684</v>
      </c>
      <c r="J50" s="32">
        <f>0.065</f>
        <v>0.065</v>
      </c>
      <c r="K50" s="32">
        <f>0.0674</f>
        <v>0.0674</v>
      </c>
      <c r="L50" s="32">
        <f>0.0743</f>
        <v>0.0743</v>
      </c>
      <c r="M50" s="32">
        <f>0.0751</f>
        <v>0.0751</v>
      </c>
      <c r="N50" s="32">
        <f>0.0667</f>
        <v>0.0667</v>
      </c>
      <c r="O50" s="32">
        <f>0.0205</f>
        <v>0.0205</v>
      </c>
    </row>
    <row r="51" spans="1:15" ht="33">
      <c r="A51" s="22" t="s">
        <v>87</v>
      </c>
      <c r="B51" s="23" t="s">
        <v>88</v>
      </c>
      <c r="C51" s="46">
        <f>0</f>
        <v>0</v>
      </c>
      <c r="D51" s="47">
        <f>0</f>
        <v>0</v>
      </c>
      <c r="E51" s="24">
        <f>0</f>
        <v>0</v>
      </c>
      <c r="F51" s="25">
        <f>0</f>
        <v>0</v>
      </c>
      <c r="G51" s="25">
        <f>0</f>
        <v>0</v>
      </c>
      <c r="H51" s="25">
        <f>0</f>
        <v>0</v>
      </c>
      <c r="I51" s="25">
        <f>0</f>
        <v>0</v>
      </c>
      <c r="J51" s="25">
        <f>0</f>
        <v>0</v>
      </c>
      <c r="K51" s="25">
        <f>0</f>
        <v>0</v>
      </c>
      <c r="L51" s="25">
        <f>0</f>
        <v>0</v>
      </c>
      <c r="M51" s="25">
        <f>0</f>
        <v>0</v>
      </c>
      <c r="N51" s="25">
        <f>0</f>
        <v>0</v>
      </c>
      <c r="O51" s="25">
        <f>0</f>
        <v>0</v>
      </c>
    </row>
    <row r="52" spans="1:15" ht="41.25">
      <c r="A52" s="22" t="s">
        <v>89</v>
      </c>
      <c r="B52" s="23" t="s">
        <v>90</v>
      </c>
      <c r="C52" s="50">
        <f>0.2916</f>
        <v>0.2916</v>
      </c>
      <c r="D52" s="51">
        <f>0.3053</f>
        <v>0.3053</v>
      </c>
      <c r="E52" s="31">
        <f>0.0402</f>
        <v>0.0402</v>
      </c>
      <c r="F52" s="32">
        <f>0.0385</f>
        <v>0.0385</v>
      </c>
      <c r="G52" s="32">
        <f>0.0358</f>
        <v>0.0358</v>
      </c>
      <c r="H52" s="32">
        <f>0.0695</f>
        <v>0.0695</v>
      </c>
      <c r="I52" s="32">
        <f>0.0684</f>
        <v>0.0684</v>
      </c>
      <c r="J52" s="32">
        <f>0.065</f>
        <v>0.065</v>
      </c>
      <c r="K52" s="32">
        <f>0.0674</f>
        <v>0.0674</v>
      </c>
      <c r="L52" s="32">
        <f>0.0743</f>
        <v>0.0743</v>
      </c>
      <c r="M52" s="32">
        <f>0.0751</f>
        <v>0.0751</v>
      </c>
      <c r="N52" s="32">
        <f>0.0667</f>
        <v>0.0667</v>
      </c>
      <c r="O52" s="32">
        <f>0.0205</f>
        <v>0.0205</v>
      </c>
    </row>
    <row r="53" spans="1:15" ht="33">
      <c r="A53" s="33" t="s">
        <v>91</v>
      </c>
      <c r="B53" s="34" t="s">
        <v>92</v>
      </c>
      <c r="C53" s="50">
        <f aca="true" t="shared" si="2" ref="C53:O53">+IF(AND(C4&gt;=2013,C4&lt;=2018),IF(C5&lt;&gt;0,(C6+C14-C17+C20)/C5,0),IF(C5&lt;&gt;0,(C6+C14-C17)/C5,0))</f>
        <v>0.023495293566094783</v>
      </c>
      <c r="D53" s="51">
        <f t="shared" si="2"/>
        <v>0.04439309001601058</v>
      </c>
      <c r="E53" s="31">
        <f t="shared" si="2"/>
        <v>0.02123691936803338</v>
      </c>
      <c r="F53" s="32">
        <f t="shared" si="2"/>
        <v>0.17869009462000926</v>
      </c>
      <c r="G53" s="32">
        <f t="shared" si="2"/>
        <v>0.08198827371646854</v>
      </c>
      <c r="H53" s="32">
        <f t="shared" si="2"/>
        <v>0.14480274110180774</v>
      </c>
      <c r="I53" s="32">
        <f t="shared" si="2"/>
        <v>0.11908767903425418</v>
      </c>
      <c r="J53" s="32">
        <f t="shared" si="2"/>
        <v>0.10898240964028232</v>
      </c>
      <c r="K53" s="32">
        <f t="shared" si="2"/>
        <v>0.11297573487778756</v>
      </c>
      <c r="L53" s="32">
        <f t="shared" si="2"/>
        <v>0.14247703001821221</v>
      </c>
      <c r="M53" s="32">
        <f t="shared" si="2"/>
        <v>0.1584874136599194</v>
      </c>
      <c r="N53" s="32">
        <f t="shared" si="2"/>
        <v>0.1592535524225326</v>
      </c>
      <c r="O53" s="32">
        <f t="shared" si="2"/>
        <v>0.12198813179510842</v>
      </c>
    </row>
    <row r="54" spans="1:15" ht="41.25">
      <c r="A54" s="22" t="s">
        <v>93</v>
      </c>
      <c r="B54" s="23" t="s">
        <v>94</v>
      </c>
      <c r="C54" s="48" t="s">
        <v>77</v>
      </c>
      <c r="D54" s="49" t="s">
        <v>77</v>
      </c>
      <c r="E54" s="31">
        <f>0.0652</f>
        <v>0.0652</v>
      </c>
      <c r="F54" s="32">
        <f>0.0486</f>
        <v>0.0486</v>
      </c>
      <c r="G54" s="32">
        <f>0.0745</f>
        <v>0.0745</v>
      </c>
      <c r="H54" s="32">
        <f>0.094</f>
        <v>0.094</v>
      </c>
      <c r="I54" s="32">
        <f>0.1352</f>
        <v>0.1352</v>
      </c>
      <c r="J54" s="32">
        <f>0.1153</f>
        <v>0.1153</v>
      </c>
      <c r="K54" s="32">
        <f>0.1243</f>
        <v>0.1243</v>
      </c>
      <c r="L54" s="32">
        <f>0.1137</f>
        <v>0.1137</v>
      </c>
      <c r="M54" s="32">
        <f>0.1215</f>
        <v>0.1215</v>
      </c>
      <c r="N54" s="32">
        <f>0.138</f>
        <v>0.138</v>
      </c>
      <c r="O54" s="32">
        <f>0.1534</f>
        <v>0.1534</v>
      </c>
    </row>
    <row r="55" spans="1:15" ht="49.5">
      <c r="A55" s="22" t="s">
        <v>95</v>
      </c>
      <c r="B55" s="26" t="s">
        <v>96</v>
      </c>
      <c r="C55" s="48" t="s">
        <v>77</v>
      </c>
      <c r="D55" s="49" t="s">
        <v>77</v>
      </c>
      <c r="E55" s="31">
        <f>0.0721</f>
        <v>0.0721</v>
      </c>
      <c r="F55" s="32">
        <f>0.0556</f>
        <v>0.0556</v>
      </c>
      <c r="G55" s="32">
        <f>0.0814</f>
        <v>0.0814</v>
      </c>
      <c r="H55" s="32">
        <f>0.094</f>
        <v>0.094</v>
      </c>
      <c r="I55" s="32">
        <f>0.1352</f>
        <v>0.1352</v>
      </c>
      <c r="J55" s="32">
        <f>0.1153</f>
        <v>0.1153</v>
      </c>
      <c r="K55" s="32">
        <f>0.1243</f>
        <v>0.1243</v>
      </c>
      <c r="L55" s="32">
        <f>0.1137</f>
        <v>0.1137</v>
      </c>
      <c r="M55" s="32">
        <f>0.1215</f>
        <v>0.1215</v>
      </c>
      <c r="N55" s="32">
        <f>0.138</f>
        <v>0.138</v>
      </c>
      <c r="O55" s="32">
        <f>0.1534</f>
        <v>0.1534</v>
      </c>
    </row>
    <row r="56" spans="1:15" ht="49.5">
      <c r="A56" s="22" t="s">
        <v>97</v>
      </c>
      <c r="B56" s="23" t="s">
        <v>98</v>
      </c>
      <c r="C56" s="48" t="s">
        <v>77</v>
      </c>
      <c r="D56" s="49" t="s">
        <v>77</v>
      </c>
      <c r="E56" s="35" t="str">
        <f>IF(E52&lt;=E54,"Spełniona","Nie spełniona")</f>
        <v>Spełniona</v>
      </c>
      <c r="F56" s="36" t="str">
        <f aca="true" t="shared" si="3" ref="F56:O56">IF(F52&lt;=F54,"Spełniona","Nie spełniona")</f>
        <v>Spełniona</v>
      </c>
      <c r="G56" s="36" t="str">
        <f t="shared" si="3"/>
        <v>Spełniona</v>
      </c>
      <c r="H56" s="36" t="str">
        <f t="shared" si="3"/>
        <v>Spełniona</v>
      </c>
      <c r="I56" s="36" t="str">
        <f t="shared" si="3"/>
        <v>Spełniona</v>
      </c>
      <c r="J56" s="36" t="str">
        <f t="shared" si="3"/>
        <v>Spełniona</v>
      </c>
      <c r="K56" s="36" t="str">
        <f t="shared" si="3"/>
        <v>Spełniona</v>
      </c>
      <c r="L56" s="36" t="str">
        <f t="shared" si="3"/>
        <v>Spełniona</v>
      </c>
      <c r="M56" s="36" t="str">
        <f t="shared" si="3"/>
        <v>Spełniona</v>
      </c>
      <c r="N56" s="36" t="str">
        <f t="shared" si="3"/>
        <v>Spełniona</v>
      </c>
      <c r="O56" s="36" t="str">
        <f t="shared" si="3"/>
        <v>Spełniona</v>
      </c>
    </row>
    <row r="57" spans="1:15" ht="49.5">
      <c r="A57" s="22" t="s">
        <v>99</v>
      </c>
      <c r="B57" s="26" t="s">
        <v>100</v>
      </c>
      <c r="C57" s="48" t="s">
        <v>77</v>
      </c>
      <c r="D57" s="49" t="s">
        <v>77</v>
      </c>
      <c r="E57" s="35" t="str">
        <f>IF(E52&lt;=E55,"Spełniona","Nie spełniona")</f>
        <v>Spełniona</v>
      </c>
      <c r="F57" s="36" t="str">
        <f aca="true" t="shared" si="4" ref="F57:O57">IF(F52&lt;=F55,"Spełniona","Nie spełniona")</f>
        <v>Spełniona</v>
      </c>
      <c r="G57" s="36" t="str">
        <f t="shared" si="4"/>
        <v>Spełniona</v>
      </c>
      <c r="H57" s="36" t="str">
        <f t="shared" si="4"/>
        <v>Spełniona</v>
      </c>
      <c r="I57" s="36" t="str">
        <f t="shared" si="4"/>
        <v>Spełniona</v>
      </c>
      <c r="J57" s="36" t="str">
        <f t="shared" si="4"/>
        <v>Spełniona</v>
      </c>
      <c r="K57" s="36" t="str">
        <f t="shared" si="4"/>
        <v>Spełniona</v>
      </c>
      <c r="L57" s="36" t="str">
        <f t="shared" si="4"/>
        <v>Spełniona</v>
      </c>
      <c r="M57" s="36" t="str">
        <f t="shared" si="4"/>
        <v>Spełniona</v>
      </c>
      <c r="N57" s="36" t="str">
        <f t="shared" si="4"/>
        <v>Spełniona</v>
      </c>
      <c r="O57" s="36" t="str">
        <f t="shared" si="4"/>
        <v>Spełniona</v>
      </c>
    </row>
    <row r="58" spans="1:15" ht="19.5">
      <c r="A58" s="18">
        <v>10</v>
      </c>
      <c r="B58" s="19" t="s">
        <v>101</v>
      </c>
      <c r="C58" s="44">
        <f>0</f>
        <v>0</v>
      </c>
      <c r="D58" s="45">
        <f>0</f>
        <v>0</v>
      </c>
      <c r="E58" s="20">
        <f>0</f>
        <v>0</v>
      </c>
      <c r="F58" s="21">
        <f>587500</f>
        <v>587500</v>
      </c>
      <c r="G58" s="21">
        <f>437500</f>
        <v>437500</v>
      </c>
      <c r="H58" s="21">
        <f>1426300</f>
        <v>1426300</v>
      </c>
      <c r="I58" s="21">
        <f>1419400</f>
        <v>1419400</v>
      </c>
      <c r="J58" s="21">
        <f>1567206</f>
        <v>1567206</v>
      </c>
      <c r="K58" s="21">
        <f>1612200</f>
        <v>1612200</v>
      </c>
      <c r="L58" s="21">
        <f>1726510.65</f>
        <v>1726510.65</v>
      </c>
      <c r="M58" s="21">
        <f>1726510.65</f>
        <v>1726510.65</v>
      </c>
      <c r="N58" s="21">
        <f>1726579.65</f>
        <v>1726579.65</v>
      </c>
      <c r="O58" s="21">
        <f>504353.52</f>
        <v>504353.52</v>
      </c>
    </row>
    <row r="59" spans="1:15" ht="12.75">
      <c r="A59" s="22" t="s">
        <v>102</v>
      </c>
      <c r="B59" s="23" t="s">
        <v>103</v>
      </c>
      <c r="C59" s="46">
        <f>6274073</f>
        <v>6274073</v>
      </c>
      <c r="D59" s="47">
        <f>6207850</f>
        <v>6207850</v>
      </c>
      <c r="E59" s="24">
        <f>0</f>
        <v>0</v>
      </c>
      <c r="F59" s="25">
        <f>587500</f>
        <v>587500</v>
      </c>
      <c r="G59" s="25">
        <f>437500</f>
        <v>437500</v>
      </c>
      <c r="H59" s="25">
        <f>1426300</f>
        <v>1426300</v>
      </c>
      <c r="I59" s="25">
        <f>1419400</f>
        <v>1419400</v>
      </c>
      <c r="J59" s="25">
        <f>1199406</f>
        <v>1199406</v>
      </c>
      <c r="K59" s="25">
        <f>1244400</f>
        <v>1244400</v>
      </c>
      <c r="L59" s="25">
        <f>1358710.65</f>
        <v>1358710.65</v>
      </c>
      <c r="M59" s="25">
        <f>1358710.65</f>
        <v>1358710.65</v>
      </c>
      <c r="N59" s="25">
        <f>1358710.65</f>
        <v>1358710.65</v>
      </c>
      <c r="O59" s="25">
        <f>504353.52</f>
        <v>504353.52</v>
      </c>
    </row>
    <row r="60" spans="1:15" ht="19.5">
      <c r="A60" s="18">
        <v>11</v>
      </c>
      <c r="B60" s="19" t="s">
        <v>104</v>
      </c>
      <c r="C60" s="48" t="s">
        <v>77</v>
      </c>
      <c r="D60" s="49" t="s">
        <v>77</v>
      </c>
      <c r="E60" s="29" t="s">
        <v>77</v>
      </c>
      <c r="F60" s="30" t="s">
        <v>77</v>
      </c>
      <c r="G60" s="30" t="s">
        <v>77</v>
      </c>
      <c r="H60" s="30" t="s">
        <v>77</v>
      </c>
      <c r="I60" s="30" t="s">
        <v>77</v>
      </c>
      <c r="J60" s="30" t="s">
        <v>77</v>
      </c>
      <c r="K60" s="30" t="s">
        <v>77</v>
      </c>
      <c r="L60" s="30" t="s">
        <v>77</v>
      </c>
      <c r="M60" s="30" t="s">
        <v>77</v>
      </c>
      <c r="N60" s="30" t="s">
        <v>77</v>
      </c>
      <c r="O60" s="30" t="s">
        <v>77</v>
      </c>
    </row>
    <row r="61" spans="1:15" ht="16.5">
      <c r="A61" s="22" t="s">
        <v>105</v>
      </c>
      <c r="B61" s="23" t="s">
        <v>106</v>
      </c>
      <c r="C61" s="46">
        <f>8689150.53</f>
        <v>8689150.53</v>
      </c>
      <c r="D61" s="47">
        <f>8455558.73</f>
        <v>8455558.73</v>
      </c>
      <c r="E61" s="24">
        <f>8750091</f>
        <v>8750091</v>
      </c>
      <c r="F61" s="25">
        <f>8533530</f>
        <v>8533530</v>
      </c>
      <c r="G61" s="25">
        <f>8683535</f>
        <v>8683535</v>
      </c>
      <c r="H61" s="25">
        <f>8841041</f>
        <v>8841041</v>
      </c>
      <c r="I61" s="25">
        <f>9106272</f>
        <v>9106272</v>
      </c>
      <c r="J61" s="25">
        <f>9379460</f>
        <v>9379460</v>
      </c>
      <c r="K61" s="25">
        <f>9560250</f>
        <v>9560250</v>
      </c>
      <c r="L61" s="25">
        <f>9690700</f>
        <v>9690700</v>
      </c>
      <c r="M61" s="25">
        <f>9740000</f>
        <v>9740000</v>
      </c>
      <c r="N61" s="25">
        <f>9830000</f>
        <v>9830000</v>
      </c>
      <c r="O61" s="25">
        <f>9950000</f>
        <v>9950000</v>
      </c>
    </row>
    <row r="62" spans="1:15" ht="16.5">
      <c r="A62" s="22" t="s">
        <v>107</v>
      </c>
      <c r="B62" s="23" t="s">
        <v>108</v>
      </c>
      <c r="C62" s="46">
        <f>2672049</f>
        <v>2672049</v>
      </c>
      <c r="D62" s="47">
        <f>2427741.94</f>
        <v>2427741.94</v>
      </c>
      <c r="E62" s="24">
        <f>2538601</f>
        <v>2538601</v>
      </c>
      <c r="F62" s="25">
        <f>2490377</f>
        <v>2490377</v>
      </c>
      <c r="G62" s="25">
        <f>2556088</f>
        <v>2556088</v>
      </c>
      <c r="H62" s="25">
        <f>2641140</f>
        <v>2641140</v>
      </c>
      <c r="I62" s="25">
        <f>2720374</f>
        <v>2720374</v>
      </c>
      <c r="J62" s="25">
        <f>2802385</f>
        <v>2802385</v>
      </c>
      <c r="K62" s="25">
        <f>2890400</f>
        <v>2890400</v>
      </c>
      <c r="L62" s="25">
        <f>2950200</f>
        <v>2950200</v>
      </c>
      <c r="M62" s="25">
        <f>3150600</f>
        <v>3150600</v>
      </c>
      <c r="N62" s="25">
        <f>3210000</f>
        <v>3210000</v>
      </c>
      <c r="O62" s="25">
        <f>3350000</f>
        <v>3350000</v>
      </c>
    </row>
    <row r="63" spans="1:15" ht="16.5">
      <c r="A63" s="22" t="s">
        <v>109</v>
      </c>
      <c r="B63" s="23" t="s">
        <v>110</v>
      </c>
      <c r="C63" s="46">
        <f>0</f>
        <v>0</v>
      </c>
      <c r="D63" s="47">
        <f>2068005.46</f>
        <v>2068005.46</v>
      </c>
      <c r="E63" s="24">
        <f>1100000</f>
        <v>1100000</v>
      </c>
      <c r="F63" s="25">
        <f>400000</f>
        <v>400000</v>
      </c>
      <c r="G63" s="25">
        <f>0</f>
        <v>0</v>
      </c>
      <c r="H63" s="25">
        <f>0</f>
        <v>0</v>
      </c>
      <c r="I63" s="25">
        <f>0</f>
        <v>0</v>
      </c>
      <c r="J63" s="25">
        <f>0</f>
        <v>0</v>
      </c>
      <c r="K63" s="25">
        <f>0</f>
        <v>0</v>
      </c>
      <c r="L63" s="25">
        <f>0</f>
        <v>0</v>
      </c>
      <c r="M63" s="25">
        <f>0</f>
        <v>0</v>
      </c>
      <c r="N63" s="25">
        <f>0</f>
        <v>0</v>
      </c>
      <c r="O63" s="25">
        <f>0</f>
        <v>0</v>
      </c>
    </row>
    <row r="64" spans="1:15" ht="12.75">
      <c r="A64" s="22" t="s">
        <v>111</v>
      </c>
      <c r="B64" s="26" t="s">
        <v>112</v>
      </c>
      <c r="C64" s="46">
        <f>0</f>
        <v>0</v>
      </c>
      <c r="D64" s="47">
        <f>0</f>
        <v>0</v>
      </c>
      <c r="E64" s="24">
        <f>0</f>
        <v>0</v>
      </c>
      <c r="F64" s="25">
        <f>0</f>
        <v>0</v>
      </c>
      <c r="G64" s="25">
        <f>0</f>
        <v>0</v>
      </c>
      <c r="H64" s="25">
        <f>0</f>
        <v>0</v>
      </c>
      <c r="I64" s="25">
        <f>0</f>
        <v>0</v>
      </c>
      <c r="J64" s="25">
        <f>0</f>
        <v>0</v>
      </c>
      <c r="K64" s="25">
        <f>0</f>
        <v>0</v>
      </c>
      <c r="L64" s="25">
        <f>0</f>
        <v>0</v>
      </c>
      <c r="M64" s="25">
        <f>0</f>
        <v>0</v>
      </c>
      <c r="N64" s="25">
        <f>0</f>
        <v>0</v>
      </c>
      <c r="O64" s="25">
        <f>0</f>
        <v>0</v>
      </c>
    </row>
    <row r="65" spans="1:15" ht="12.75">
      <c r="A65" s="22" t="s">
        <v>113</v>
      </c>
      <c r="B65" s="26" t="s">
        <v>114</v>
      </c>
      <c r="C65" s="46">
        <f>0</f>
        <v>0</v>
      </c>
      <c r="D65" s="47">
        <f>2068005.46</f>
        <v>2068005.46</v>
      </c>
      <c r="E65" s="24">
        <f>1100000</f>
        <v>1100000</v>
      </c>
      <c r="F65" s="25">
        <f>400000</f>
        <v>400000</v>
      </c>
      <c r="G65" s="25">
        <f>0</f>
        <v>0</v>
      </c>
      <c r="H65" s="25">
        <f>0</f>
        <v>0</v>
      </c>
      <c r="I65" s="25">
        <f>0</f>
        <v>0</v>
      </c>
      <c r="J65" s="25">
        <f>0</f>
        <v>0</v>
      </c>
      <c r="K65" s="25">
        <f>0</f>
        <v>0</v>
      </c>
      <c r="L65" s="25">
        <f>0</f>
        <v>0</v>
      </c>
      <c r="M65" s="25">
        <f>0</f>
        <v>0</v>
      </c>
      <c r="N65" s="25">
        <f>0</f>
        <v>0</v>
      </c>
      <c r="O65" s="25">
        <f>0</f>
        <v>0</v>
      </c>
    </row>
    <row r="66" spans="1:15" ht="12.75">
      <c r="A66" s="22" t="s">
        <v>115</v>
      </c>
      <c r="B66" s="23" t="s">
        <v>116</v>
      </c>
      <c r="C66" s="46">
        <f>3181505</f>
        <v>3181505</v>
      </c>
      <c r="D66" s="47">
        <f>1818005.46</f>
        <v>1818005.46</v>
      </c>
      <c r="E66" s="24">
        <f>3609334</f>
        <v>3609334</v>
      </c>
      <c r="F66" s="25">
        <f>0</f>
        <v>0</v>
      </c>
      <c r="G66" s="25">
        <f>0</f>
        <v>0</v>
      </c>
      <c r="H66" s="25">
        <f>0</f>
        <v>0</v>
      </c>
      <c r="I66" s="25">
        <f>0</f>
        <v>0</v>
      </c>
      <c r="J66" s="25">
        <f>0</f>
        <v>0</v>
      </c>
      <c r="K66" s="25">
        <f>0</f>
        <v>0</v>
      </c>
      <c r="L66" s="25">
        <f>0</f>
        <v>0</v>
      </c>
      <c r="M66" s="25">
        <f>0</f>
        <v>0</v>
      </c>
      <c r="N66" s="25">
        <f>0</f>
        <v>0</v>
      </c>
      <c r="O66" s="25">
        <f>0</f>
        <v>0</v>
      </c>
    </row>
    <row r="67" spans="1:15" ht="12.75">
      <c r="A67" s="22" t="s">
        <v>117</v>
      </c>
      <c r="B67" s="23" t="s">
        <v>118</v>
      </c>
      <c r="C67" s="46">
        <f>0</f>
        <v>0</v>
      </c>
      <c r="D67" s="47">
        <f>0</f>
        <v>0</v>
      </c>
      <c r="E67" s="24">
        <f>0</f>
        <v>0</v>
      </c>
      <c r="F67" s="25">
        <f>0</f>
        <v>0</v>
      </c>
      <c r="G67" s="25">
        <f>0</f>
        <v>0</v>
      </c>
      <c r="H67" s="25">
        <f>0</f>
        <v>0</v>
      </c>
      <c r="I67" s="25">
        <f>0</f>
        <v>0</v>
      </c>
      <c r="J67" s="25">
        <f>0</f>
        <v>0</v>
      </c>
      <c r="K67" s="25">
        <f>0</f>
        <v>0</v>
      </c>
      <c r="L67" s="25">
        <f>0</f>
        <v>0</v>
      </c>
      <c r="M67" s="25">
        <f>0</f>
        <v>0</v>
      </c>
      <c r="N67" s="25">
        <f>0</f>
        <v>0</v>
      </c>
      <c r="O67" s="25">
        <f>0</f>
        <v>0</v>
      </c>
    </row>
    <row r="68" spans="1:15" ht="12.75">
      <c r="A68" s="22" t="s">
        <v>119</v>
      </c>
      <c r="B68" s="23" t="s">
        <v>120</v>
      </c>
      <c r="C68" s="46">
        <f>250000</f>
        <v>250000</v>
      </c>
      <c r="D68" s="47">
        <f>250000</f>
        <v>250000</v>
      </c>
      <c r="E68" s="24">
        <f>10000</f>
        <v>10000</v>
      </c>
      <c r="F68" s="25">
        <f>0</f>
        <v>0</v>
      </c>
      <c r="G68" s="25">
        <f>0</f>
        <v>0</v>
      </c>
      <c r="H68" s="25">
        <f>0</f>
        <v>0</v>
      </c>
      <c r="I68" s="25">
        <f>0</f>
        <v>0</v>
      </c>
      <c r="J68" s="25">
        <f>0</f>
        <v>0</v>
      </c>
      <c r="K68" s="25">
        <f>0</f>
        <v>0</v>
      </c>
      <c r="L68" s="25">
        <f>0</f>
        <v>0</v>
      </c>
      <c r="M68" s="25">
        <f>0</f>
        <v>0</v>
      </c>
      <c r="N68" s="25">
        <f>0</f>
        <v>0</v>
      </c>
      <c r="O68" s="25">
        <f>0</f>
        <v>0</v>
      </c>
    </row>
    <row r="69" spans="1:15" ht="29.25">
      <c r="A69" s="18">
        <v>12</v>
      </c>
      <c r="B69" s="19" t="s">
        <v>121</v>
      </c>
      <c r="C69" s="48" t="s">
        <v>77</v>
      </c>
      <c r="D69" s="49" t="s">
        <v>77</v>
      </c>
      <c r="E69" s="29" t="s">
        <v>77</v>
      </c>
      <c r="F69" s="30" t="s">
        <v>77</v>
      </c>
      <c r="G69" s="30" t="s">
        <v>77</v>
      </c>
      <c r="H69" s="30" t="s">
        <v>77</v>
      </c>
      <c r="I69" s="30" t="s">
        <v>77</v>
      </c>
      <c r="J69" s="30" t="s">
        <v>77</v>
      </c>
      <c r="K69" s="30" t="s">
        <v>77</v>
      </c>
      <c r="L69" s="30" t="s">
        <v>77</v>
      </c>
      <c r="M69" s="30" t="s">
        <v>77</v>
      </c>
      <c r="N69" s="30" t="s">
        <v>77</v>
      </c>
      <c r="O69" s="30" t="s">
        <v>77</v>
      </c>
    </row>
    <row r="70" spans="1:15" ht="24.75">
      <c r="A70" s="22" t="s">
        <v>122</v>
      </c>
      <c r="B70" s="23" t="s">
        <v>123</v>
      </c>
      <c r="C70" s="46">
        <f>107725</f>
        <v>107725</v>
      </c>
      <c r="D70" s="47">
        <f>327564.69</f>
        <v>327564.69</v>
      </c>
      <c r="E70" s="24">
        <f>171461</f>
        <v>171461</v>
      </c>
      <c r="F70" s="25">
        <f>0</f>
        <v>0</v>
      </c>
      <c r="G70" s="25">
        <f>0</f>
        <v>0</v>
      </c>
      <c r="H70" s="25">
        <f>0</f>
        <v>0</v>
      </c>
      <c r="I70" s="25">
        <f>0</f>
        <v>0</v>
      </c>
      <c r="J70" s="25">
        <f>0</f>
        <v>0</v>
      </c>
      <c r="K70" s="25">
        <f>0</f>
        <v>0</v>
      </c>
      <c r="L70" s="25">
        <f>0</f>
        <v>0</v>
      </c>
      <c r="M70" s="25">
        <f>0</f>
        <v>0</v>
      </c>
      <c r="N70" s="25">
        <f>0</f>
        <v>0</v>
      </c>
      <c r="O70" s="25">
        <f>0</f>
        <v>0</v>
      </c>
    </row>
    <row r="71" spans="1:15" ht="12.75">
      <c r="A71" s="22" t="s">
        <v>124</v>
      </c>
      <c r="B71" s="37" t="s">
        <v>125</v>
      </c>
      <c r="C71" s="46">
        <f>107725</f>
        <v>107725</v>
      </c>
      <c r="D71" s="47">
        <f>327564.69</f>
        <v>327564.69</v>
      </c>
      <c r="E71" s="24">
        <f>171461</f>
        <v>171461</v>
      </c>
      <c r="F71" s="25">
        <f>0</f>
        <v>0</v>
      </c>
      <c r="G71" s="25">
        <f>0</f>
        <v>0</v>
      </c>
      <c r="H71" s="25">
        <f>0</f>
        <v>0</v>
      </c>
      <c r="I71" s="25">
        <f>0</f>
        <v>0</v>
      </c>
      <c r="J71" s="25">
        <f>0</f>
        <v>0</v>
      </c>
      <c r="K71" s="25">
        <f>0</f>
        <v>0</v>
      </c>
      <c r="L71" s="25">
        <f>0</f>
        <v>0</v>
      </c>
      <c r="M71" s="25">
        <f>0</f>
        <v>0</v>
      </c>
      <c r="N71" s="25">
        <f>0</f>
        <v>0</v>
      </c>
      <c r="O71" s="25">
        <f>0</f>
        <v>0</v>
      </c>
    </row>
    <row r="72" spans="1:15" ht="24.75">
      <c r="A72" s="22" t="s">
        <v>126</v>
      </c>
      <c r="B72" s="38" t="s">
        <v>127</v>
      </c>
      <c r="C72" s="46">
        <f>0</f>
        <v>0</v>
      </c>
      <c r="D72" s="47">
        <f>0</f>
        <v>0</v>
      </c>
      <c r="E72" s="24">
        <f>0</f>
        <v>0</v>
      </c>
      <c r="F72" s="25">
        <f>0</f>
        <v>0</v>
      </c>
      <c r="G72" s="25">
        <f>0</f>
        <v>0</v>
      </c>
      <c r="H72" s="25">
        <f>0</f>
        <v>0</v>
      </c>
      <c r="I72" s="25">
        <f>0</f>
        <v>0</v>
      </c>
      <c r="J72" s="25">
        <f>0</f>
        <v>0</v>
      </c>
      <c r="K72" s="25">
        <f>0</f>
        <v>0</v>
      </c>
      <c r="L72" s="25">
        <f>0</f>
        <v>0</v>
      </c>
      <c r="M72" s="25">
        <f>0</f>
        <v>0</v>
      </c>
      <c r="N72" s="25">
        <f>0</f>
        <v>0</v>
      </c>
      <c r="O72" s="25">
        <f>0</f>
        <v>0</v>
      </c>
    </row>
    <row r="73" spans="1:15" ht="24.75">
      <c r="A73" s="22" t="s">
        <v>128</v>
      </c>
      <c r="B73" s="23" t="s">
        <v>129</v>
      </c>
      <c r="C73" s="46">
        <f>747117</f>
        <v>747117</v>
      </c>
      <c r="D73" s="47">
        <f>275487</f>
        <v>275487</v>
      </c>
      <c r="E73" s="24">
        <f>1686419</f>
        <v>1686419</v>
      </c>
      <c r="F73" s="25">
        <f>0</f>
        <v>0</v>
      </c>
      <c r="G73" s="25">
        <f>0</f>
        <v>0</v>
      </c>
      <c r="H73" s="25">
        <f>0</f>
        <v>0</v>
      </c>
      <c r="I73" s="25">
        <f>0</f>
        <v>0</v>
      </c>
      <c r="J73" s="25">
        <f>0</f>
        <v>0</v>
      </c>
      <c r="K73" s="25">
        <f>0</f>
        <v>0</v>
      </c>
      <c r="L73" s="25">
        <f>0</f>
        <v>0</v>
      </c>
      <c r="M73" s="25">
        <f>0</f>
        <v>0</v>
      </c>
      <c r="N73" s="25">
        <f>0</f>
        <v>0</v>
      </c>
      <c r="O73" s="25">
        <f>0</f>
        <v>0</v>
      </c>
    </row>
    <row r="74" spans="1:15" ht="12.75">
      <c r="A74" s="22" t="s">
        <v>130</v>
      </c>
      <c r="B74" s="37" t="s">
        <v>125</v>
      </c>
      <c r="C74" s="46">
        <f>747117</f>
        <v>747117</v>
      </c>
      <c r="D74" s="47">
        <f>275487</f>
        <v>275487</v>
      </c>
      <c r="E74" s="24">
        <f>1686419</f>
        <v>1686419</v>
      </c>
      <c r="F74" s="25">
        <f>0</f>
        <v>0</v>
      </c>
      <c r="G74" s="25">
        <f>0</f>
        <v>0</v>
      </c>
      <c r="H74" s="25">
        <f>0</f>
        <v>0</v>
      </c>
      <c r="I74" s="25">
        <f>0</f>
        <v>0</v>
      </c>
      <c r="J74" s="25">
        <f>0</f>
        <v>0</v>
      </c>
      <c r="K74" s="25">
        <f>0</f>
        <v>0</v>
      </c>
      <c r="L74" s="25">
        <f>0</f>
        <v>0</v>
      </c>
      <c r="M74" s="25">
        <f>0</f>
        <v>0</v>
      </c>
      <c r="N74" s="25">
        <f>0</f>
        <v>0</v>
      </c>
      <c r="O74" s="25">
        <f>0</f>
        <v>0</v>
      </c>
    </row>
    <row r="75" spans="1:15" ht="24.75">
      <c r="A75" s="22" t="s">
        <v>131</v>
      </c>
      <c r="B75" s="38" t="s">
        <v>132</v>
      </c>
      <c r="C75" s="46">
        <f>0</f>
        <v>0</v>
      </c>
      <c r="D75" s="47">
        <f>0</f>
        <v>0</v>
      </c>
      <c r="E75" s="24">
        <f>0</f>
        <v>0</v>
      </c>
      <c r="F75" s="25">
        <f>0</f>
        <v>0</v>
      </c>
      <c r="G75" s="25">
        <f>0</f>
        <v>0</v>
      </c>
      <c r="H75" s="25">
        <f>0</f>
        <v>0</v>
      </c>
      <c r="I75" s="25">
        <f>0</f>
        <v>0</v>
      </c>
      <c r="J75" s="25">
        <f>0</f>
        <v>0</v>
      </c>
      <c r="K75" s="25">
        <f>0</f>
        <v>0</v>
      </c>
      <c r="L75" s="25">
        <f>0</f>
        <v>0</v>
      </c>
      <c r="M75" s="25">
        <f>0</f>
        <v>0</v>
      </c>
      <c r="N75" s="25">
        <f>0</f>
        <v>0</v>
      </c>
      <c r="O75" s="25">
        <f>0</f>
        <v>0</v>
      </c>
    </row>
    <row r="76" spans="1:15" ht="24.75">
      <c r="A76" s="22" t="s">
        <v>133</v>
      </c>
      <c r="B76" s="23" t="s">
        <v>134</v>
      </c>
      <c r="C76" s="46">
        <f>253998.3</f>
        <v>253998.3</v>
      </c>
      <c r="D76" s="47">
        <f>250697.17</f>
        <v>250697.17</v>
      </c>
      <c r="E76" s="24">
        <f>127650</f>
        <v>127650</v>
      </c>
      <c r="F76" s="25">
        <f>0</f>
        <v>0</v>
      </c>
      <c r="G76" s="25">
        <f>0</f>
        <v>0</v>
      </c>
      <c r="H76" s="25">
        <f>0</f>
        <v>0</v>
      </c>
      <c r="I76" s="25">
        <f>0</f>
        <v>0</v>
      </c>
      <c r="J76" s="25">
        <f>0</f>
        <v>0</v>
      </c>
      <c r="K76" s="25">
        <f>0</f>
        <v>0</v>
      </c>
      <c r="L76" s="25">
        <f>0</f>
        <v>0</v>
      </c>
      <c r="M76" s="25">
        <f>0</f>
        <v>0</v>
      </c>
      <c r="N76" s="25">
        <f>0</f>
        <v>0</v>
      </c>
      <c r="O76" s="25">
        <f>0</f>
        <v>0</v>
      </c>
    </row>
    <row r="77" spans="1:15" ht="16.5">
      <c r="A77" s="22" t="s">
        <v>135</v>
      </c>
      <c r="B77" s="37" t="s">
        <v>136</v>
      </c>
      <c r="C77" s="46">
        <f>251998.3</f>
        <v>251998.3</v>
      </c>
      <c r="D77" s="47">
        <f>250697.17</f>
        <v>250697.17</v>
      </c>
      <c r="E77" s="24">
        <f>127650</f>
        <v>127650</v>
      </c>
      <c r="F77" s="25">
        <f>0</f>
        <v>0</v>
      </c>
      <c r="G77" s="25">
        <f>0</f>
        <v>0</v>
      </c>
      <c r="H77" s="25">
        <f>0</f>
        <v>0</v>
      </c>
      <c r="I77" s="25">
        <f>0</f>
        <v>0</v>
      </c>
      <c r="J77" s="25">
        <f>0</f>
        <v>0</v>
      </c>
      <c r="K77" s="25">
        <f>0</f>
        <v>0</v>
      </c>
      <c r="L77" s="25">
        <f>0</f>
        <v>0</v>
      </c>
      <c r="M77" s="25">
        <f>0</f>
        <v>0</v>
      </c>
      <c r="N77" s="25">
        <f>0</f>
        <v>0</v>
      </c>
      <c r="O77" s="25">
        <f>0</f>
        <v>0</v>
      </c>
    </row>
    <row r="78" spans="1:15" ht="33">
      <c r="A78" s="22" t="s">
        <v>137</v>
      </c>
      <c r="B78" s="26" t="s">
        <v>138</v>
      </c>
      <c r="C78" s="46">
        <f>0</f>
        <v>0</v>
      </c>
      <c r="D78" s="47">
        <f>0</f>
        <v>0</v>
      </c>
      <c r="E78" s="24">
        <f>0</f>
        <v>0</v>
      </c>
      <c r="F78" s="25">
        <f>0</f>
        <v>0</v>
      </c>
      <c r="G78" s="25">
        <f>0</f>
        <v>0</v>
      </c>
      <c r="H78" s="25">
        <f>0</f>
        <v>0</v>
      </c>
      <c r="I78" s="25">
        <f>0</f>
        <v>0</v>
      </c>
      <c r="J78" s="25">
        <f>0</f>
        <v>0</v>
      </c>
      <c r="K78" s="25">
        <f>0</f>
        <v>0</v>
      </c>
      <c r="L78" s="25">
        <f>0</f>
        <v>0</v>
      </c>
      <c r="M78" s="25">
        <f>0</f>
        <v>0</v>
      </c>
      <c r="N78" s="25">
        <f>0</f>
        <v>0</v>
      </c>
      <c r="O78" s="25">
        <f>0</f>
        <v>0</v>
      </c>
    </row>
    <row r="79" spans="1:15" ht="24.75">
      <c r="A79" s="22" t="s">
        <v>139</v>
      </c>
      <c r="B79" s="23" t="s">
        <v>140</v>
      </c>
      <c r="C79" s="46">
        <f>429000</f>
        <v>429000</v>
      </c>
      <c r="D79" s="47">
        <f>376754.1</f>
        <v>376754.1</v>
      </c>
      <c r="E79" s="24">
        <f>736419</f>
        <v>736419</v>
      </c>
      <c r="F79" s="25">
        <f>0</f>
        <v>0</v>
      </c>
      <c r="G79" s="25">
        <f>0</f>
        <v>0</v>
      </c>
      <c r="H79" s="25">
        <f>0</f>
        <v>0</v>
      </c>
      <c r="I79" s="25">
        <f>0</f>
        <v>0</v>
      </c>
      <c r="J79" s="25">
        <f>0</f>
        <v>0</v>
      </c>
      <c r="K79" s="25">
        <f>0</f>
        <v>0</v>
      </c>
      <c r="L79" s="25">
        <f>0</f>
        <v>0</v>
      </c>
      <c r="M79" s="25">
        <f>0</f>
        <v>0</v>
      </c>
      <c r="N79" s="25">
        <f>0</f>
        <v>0</v>
      </c>
      <c r="O79" s="25">
        <f>0</f>
        <v>0</v>
      </c>
    </row>
    <row r="80" spans="1:15" ht="16.5">
      <c r="A80" s="22" t="s">
        <v>141</v>
      </c>
      <c r="B80" s="37" t="s">
        <v>142</v>
      </c>
      <c r="C80" s="46">
        <f>429000</f>
        <v>429000</v>
      </c>
      <c r="D80" s="47">
        <f>376754.1</f>
        <v>376754.1</v>
      </c>
      <c r="E80" s="24">
        <f>736419</f>
        <v>736419</v>
      </c>
      <c r="F80" s="25">
        <f>0</f>
        <v>0</v>
      </c>
      <c r="G80" s="25">
        <f>0</f>
        <v>0</v>
      </c>
      <c r="H80" s="25">
        <f>0</f>
        <v>0</v>
      </c>
      <c r="I80" s="25">
        <f>0</f>
        <v>0</v>
      </c>
      <c r="J80" s="25">
        <f>0</f>
        <v>0</v>
      </c>
      <c r="K80" s="25">
        <f>0</f>
        <v>0</v>
      </c>
      <c r="L80" s="25">
        <f>0</f>
        <v>0</v>
      </c>
      <c r="M80" s="25">
        <f>0</f>
        <v>0</v>
      </c>
      <c r="N80" s="25">
        <f>0</f>
        <v>0</v>
      </c>
      <c r="O80" s="25">
        <f>0</f>
        <v>0</v>
      </c>
    </row>
    <row r="81" spans="1:15" ht="33">
      <c r="A81" s="22" t="s">
        <v>143</v>
      </c>
      <c r="B81" s="26" t="s">
        <v>144</v>
      </c>
      <c r="C81" s="46">
        <f>0</f>
        <v>0</v>
      </c>
      <c r="D81" s="47">
        <f>0</f>
        <v>0</v>
      </c>
      <c r="E81" s="24">
        <f>0</f>
        <v>0</v>
      </c>
      <c r="F81" s="25">
        <f>0</f>
        <v>0</v>
      </c>
      <c r="G81" s="25">
        <f>0</f>
        <v>0</v>
      </c>
      <c r="H81" s="25">
        <f>0</f>
        <v>0</v>
      </c>
      <c r="I81" s="25">
        <f>0</f>
        <v>0</v>
      </c>
      <c r="J81" s="25">
        <f>0</f>
        <v>0</v>
      </c>
      <c r="K81" s="25">
        <f>0</f>
        <v>0</v>
      </c>
      <c r="L81" s="25">
        <f>0</f>
        <v>0</v>
      </c>
      <c r="M81" s="25">
        <f>0</f>
        <v>0</v>
      </c>
      <c r="N81" s="25">
        <f>0</f>
        <v>0</v>
      </c>
      <c r="O81" s="25">
        <f>0</f>
        <v>0</v>
      </c>
    </row>
    <row r="82" spans="1:15" ht="33">
      <c r="A82" s="22" t="s">
        <v>145</v>
      </c>
      <c r="B82" s="23" t="s">
        <v>146</v>
      </c>
      <c r="C82" s="46">
        <f>0</f>
        <v>0</v>
      </c>
      <c r="D82" s="47">
        <f>0</f>
        <v>0</v>
      </c>
      <c r="E82" s="24">
        <f>0</f>
        <v>0</v>
      </c>
      <c r="F82" s="25">
        <f>0</f>
        <v>0</v>
      </c>
      <c r="G82" s="25">
        <f>0</f>
        <v>0</v>
      </c>
      <c r="H82" s="25">
        <f>0</f>
        <v>0</v>
      </c>
      <c r="I82" s="25">
        <f>0</f>
        <v>0</v>
      </c>
      <c r="J82" s="25">
        <f>0</f>
        <v>0</v>
      </c>
      <c r="K82" s="25">
        <f>0</f>
        <v>0</v>
      </c>
      <c r="L82" s="25">
        <f>0</f>
        <v>0</v>
      </c>
      <c r="M82" s="25">
        <f>0</f>
        <v>0</v>
      </c>
      <c r="N82" s="25">
        <f>0</f>
        <v>0</v>
      </c>
      <c r="O82" s="25">
        <f>0</f>
        <v>0</v>
      </c>
    </row>
    <row r="83" spans="1:15" ht="16.5">
      <c r="A83" s="22" t="s">
        <v>147</v>
      </c>
      <c r="B83" s="26" t="s">
        <v>148</v>
      </c>
      <c r="C83" s="46">
        <f>0</f>
        <v>0</v>
      </c>
      <c r="D83" s="47">
        <f>0</f>
        <v>0</v>
      </c>
      <c r="E83" s="24">
        <f>0</f>
        <v>0</v>
      </c>
      <c r="F83" s="25">
        <f>0</f>
        <v>0</v>
      </c>
      <c r="G83" s="25">
        <f>0</f>
        <v>0</v>
      </c>
      <c r="H83" s="25">
        <f>0</f>
        <v>0</v>
      </c>
      <c r="I83" s="25">
        <f>0</f>
        <v>0</v>
      </c>
      <c r="J83" s="25">
        <f>0</f>
        <v>0</v>
      </c>
      <c r="K83" s="25">
        <f>0</f>
        <v>0</v>
      </c>
      <c r="L83" s="25">
        <f>0</f>
        <v>0</v>
      </c>
      <c r="M83" s="25">
        <f>0</f>
        <v>0</v>
      </c>
      <c r="N83" s="25">
        <f>0</f>
        <v>0</v>
      </c>
      <c r="O83" s="25">
        <f>0</f>
        <v>0</v>
      </c>
    </row>
    <row r="84" spans="1:15" ht="33">
      <c r="A84" s="22" t="s">
        <v>149</v>
      </c>
      <c r="B84" s="23" t="s">
        <v>150</v>
      </c>
      <c r="C84" s="46">
        <f>0</f>
        <v>0</v>
      </c>
      <c r="D84" s="47">
        <f>0</f>
        <v>0</v>
      </c>
      <c r="E84" s="24">
        <f>0</f>
        <v>0</v>
      </c>
      <c r="F84" s="25">
        <f>0</f>
        <v>0</v>
      </c>
      <c r="G84" s="25">
        <f>0</f>
        <v>0</v>
      </c>
      <c r="H84" s="25">
        <f>0</f>
        <v>0</v>
      </c>
      <c r="I84" s="25">
        <f>0</f>
        <v>0</v>
      </c>
      <c r="J84" s="25">
        <f>0</f>
        <v>0</v>
      </c>
      <c r="K84" s="25">
        <f>0</f>
        <v>0</v>
      </c>
      <c r="L84" s="25">
        <f>0</f>
        <v>0</v>
      </c>
      <c r="M84" s="25">
        <f>0</f>
        <v>0</v>
      </c>
      <c r="N84" s="25">
        <f>0</f>
        <v>0</v>
      </c>
      <c r="O84" s="25">
        <f>0</f>
        <v>0</v>
      </c>
    </row>
    <row r="85" spans="1:15" ht="16.5">
      <c r="A85" s="22" t="s">
        <v>151</v>
      </c>
      <c r="B85" s="26" t="s">
        <v>148</v>
      </c>
      <c r="C85" s="46">
        <f>0</f>
        <v>0</v>
      </c>
      <c r="D85" s="47">
        <f>0</f>
        <v>0</v>
      </c>
      <c r="E85" s="24">
        <f>0</f>
        <v>0</v>
      </c>
      <c r="F85" s="25">
        <f>0</f>
        <v>0</v>
      </c>
      <c r="G85" s="25">
        <f>0</f>
        <v>0</v>
      </c>
      <c r="H85" s="25">
        <f>0</f>
        <v>0</v>
      </c>
      <c r="I85" s="25">
        <f>0</f>
        <v>0</v>
      </c>
      <c r="J85" s="25">
        <f>0</f>
        <v>0</v>
      </c>
      <c r="K85" s="25">
        <f>0</f>
        <v>0</v>
      </c>
      <c r="L85" s="25">
        <f>0</f>
        <v>0</v>
      </c>
      <c r="M85" s="25">
        <f>0</f>
        <v>0</v>
      </c>
      <c r="N85" s="25">
        <f>0</f>
        <v>0</v>
      </c>
      <c r="O85" s="25">
        <f>0</f>
        <v>0</v>
      </c>
    </row>
    <row r="86" spans="1:15" ht="41.25">
      <c r="A86" s="22" t="s">
        <v>152</v>
      </c>
      <c r="B86" s="23" t="s">
        <v>153</v>
      </c>
      <c r="C86" s="46">
        <f>0</f>
        <v>0</v>
      </c>
      <c r="D86" s="47">
        <f>0</f>
        <v>0</v>
      </c>
      <c r="E86" s="24">
        <f>0</f>
        <v>0</v>
      </c>
      <c r="F86" s="25">
        <f>0</f>
        <v>0</v>
      </c>
      <c r="G86" s="25">
        <f>0</f>
        <v>0</v>
      </c>
      <c r="H86" s="25">
        <f>0</f>
        <v>0</v>
      </c>
      <c r="I86" s="25">
        <f>0</f>
        <v>0</v>
      </c>
      <c r="J86" s="25">
        <f>0</f>
        <v>0</v>
      </c>
      <c r="K86" s="25">
        <f>0</f>
        <v>0</v>
      </c>
      <c r="L86" s="25">
        <f>0</f>
        <v>0</v>
      </c>
      <c r="M86" s="25">
        <f>0</f>
        <v>0</v>
      </c>
      <c r="N86" s="25">
        <f>0</f>
        <v>0</v>
      </c>
      <c r="O86" s="25">
        <f>0</f>
        <v>0</v>
      </c>
    </row>
    <row r="87" spans="1:15" ht="16.5">
      <c r="A87" s="22" t="s">
        <v>154</v>
      </c>
      <c r="B87" s="26" t="s">
        <v>148</v>
      </c>
      <c r="C87" s="46">
        <f>0</f>
        <v>0</v>
      </c>
      <c r="D87" s="47">
        <f>0</f>
        <v>0</v>
      </c>
      <c r="E87" s="24">
        <f>0</f>
        <v>0</v>
      </c>
      <c r="F87" s="25">
        <f>0</f>
        <v>0</v>
      </c>
      <c r="G87" s="25">
        <f>0</f>
        <v>0</v>
      </c>
      <c r="H87" s="25">
        <f>0</f>
        <v>0</v>
      </c>
      <c r="I87" s="25">
        <f>0</f>
        <v>0</v>
      </c>
      <c r="J87" s="25">
        <f>0</f>
        <v>0</v>
      </c>
      <c r="K87" s="25">
        <f>0</f>
        <v>0</v>
      </c>
      <c r="L87" s="25">
        <f>0</f>
        <v>0</v>
      </c>
      <c r="M87" s="25">
        <f>0</f>
        <v>0</v>
      </c>
      <c r="N87" s="25">
        <f>0</f>
        <v>0</v>
      </c>
      <c r="O87" s="25">
        <f>0</f>
        <v>0</v>
      </c>
    </row>
    <row r="88" spans="1:15" ht="41.25">
      <c r="A88" s="22" t="s">
        <v>155</v>
      </c>
      <c r="B88" s="23" t="s">
        <v>156</v>
      </c>
      <c r="C88" s="46">
        <f>0</f>
        <v>0</v>
      </c>
      <c r="D88" s="47">
        <f>0</f>
        <v>0</v>
      </c>
      <c r="E88" s="24">
        <f>0</f>
        <v>0</v>
      </c>
      <c r="F88" s="25">
        <f>0</f>
        <v>0</v>
      </c>
      <c r="G88" s="25">
        <f>0</f>
        <v>0</v>
      </c>
      <c r="H88" s="25">
        <f>0</f>
        <v>0</v>
      </c>
      <c r="I88" s="25">
        <f>0</f>
        <v>0</v>
      </c>
      <c r="J88" s="25">
        <f>0</f>
        <v>0</v>
      </c>
      <c r="K88" s="25">
        <f>0</f>
        <v>0</v>
      </c>
      <c r="L88" s="25">
        <f>0</f>
        <v>0</v>
      </c>
      <c r="M88" s="25">
        <f>0</f>
        <v>0</v>
      </c>
      <c r="N88" s="25">
        <f>0</f>
        <v>0</v>
      </c>
      <c r="O88" s="25">
        <f>0</f>
        <v>0</v>
      </c>
    </row>
    <row r="89" spans="1:15" ht="16.5">
      <c r="A89" s="22" t="s">
        <v>157</v>
      </c>
      <c r="B89" s="26" t="s">
        <v>148</v>
      </c>
      <c r="C89" s="46">
        <f>0</f>
        <v>0</v>
      </c>
      <c r="D89" s="47">
        <f>0</f>
        <v>0</v>
      </c>
      <c r="E89" s="24">
        <f>0</f>
        <v>0</v>
      </c>
      <c r="F89" s="25">
        <f>0</f>
        <v>0</v>
      </c>
      <c r="G89" s="25">
        <f>0</f>
        <v>0</v>
      </c>
      <c r="H89" s="25">
        <f>0</f>
        <v>0</v>
      </c>
      <c r="I89" s="25">
        <f>0</f>
        <v>0</v>
      </c>
      <c r="J89" s="25">
        <f>0</f>
        <v>0</v>
      </c>
      <c r="K89" s="25">
        <f>0</f>
        <v>0</v>
      </c>
      <c r="L89" s="25">
        <f>0</f>
        <v>0</v>
      </c>
      <c r="M89" s="25">
        <f>0</f>
        <v>0</v>
      </c>
      <c r="N89" s="25">
        <f>0</f>
        <v>0</v>
      </c>
      <c r="O89" s="25">
        <f>0</f>
        <v>0</v>
      </c>
    </row>
    <row r="90" spans="1:15" ht="29.25">
      <c r="A90" s="18">
        <v>13</v>
      </c>
      <c r="B90" s="39" t="s">
        <v>158</v>
      </c>
      <c r="C90" s="48" t="s">
        <v>77</v>
      </c>
      <c r="D90" s="49" t="s">
        <v>77</v>
      </c>
      <c r="E90" s="29" t="s">
        <v>77</v>
      </c>
      <c r="F90" s="30" t="s">
        <v>77</v>
      </c>
      <c r="G90" s="30" t="s">
        <v>77</v>
      </c>
      <c r="H90" s="30" t="s">
        <v>77</v>
      </c>
      <c r="I90" s="30" t="s">
        <v>77</v>
      </c>
      <c r="J90" s="30" t="s">
        <v>77</v>
      </c>
      <c r="K90" s="30" t="s">
        <v>77</v>
      </c>
      <c r="L90" s="30" t="s">
        <v>77</v>
      </c>
      <c r="M90" s="30" t="s">
        <v>77</v>
      </c>
      <c r="N90" s="30" t="s">
        <v>77</v>
      </c>
      <c r="O90" s="30" t="s">
        <v>77</v>
      </c>
    </row>
    <row r="91" spans="1:15" ht="24.75">
      <c r="A91" s="22" t="s">
        <v>159</v>
      </c>
      <c r="B91" s="23" t="s">
        <v>160</v>
      </c>
      <c r="C91" s="46">
        <f>0</f>
        <v>0</v>
      </c>
      <c r="D91" s="47">
        <f>0</f>
        <v>0</v>
      </c>
      <c r="E91" s="24">
        <f>0</f>
        <v>0</v>
      </c>
      <c r="F91" s="25">
        <f>0</f>
        <v>0</v>
      </c>
      <c r="G91" s="25">
        <f>0</f>
        <v>0</v>
      </c>
      <c r="H91" s="25">
        <f>0</f>
        <v>0</v>
      </c>
      <c r="I91" s="25">
        <f>0</f>
        <v>0</v>
      </c>
      <c r="J91" s="25">
        <f>0</f>
        <v>0</v>
      </c>
      <c r="K91" s="25">
        <f>0</f>
        <v>0</v>
      </c>
      <c r="L91" s="25">
        <f>0</f>
        <v>0</v>
      </c>
      <c r="M91" s="25">
        <f>0</f>
        <v>0</v>
      </c>
      <c r="N91" s="25">
        <f>0</f>
        <v>0</v>
      </c>
      <c r="O91" s="25">
        <f>0</f>
        <v>0</v>
      </c>
    </row>
    <row r="92" spans="1:15" ht="33">
      <c r="A92" s="22" t="s">
        <v>161</v>
      </c>
      <c r="B92" s="23" t="s">
        <v>162</v>
      </c>
      <c r="C92" s="46">
        <f>0</f>
        <v>0</v>
      </c>
      <c r="D92" s="47">
        <f>0</f>
        <v>0</v>
      </c>
      <c r="E92" s="24">
        <f>0</f>
        <v>0</v>
      </c>
      <c r="F92" s="25">
        <f>0</f>
        <v>0</v>
      </c>
      <c r="G92" s="25">
        <f>0</f>
        <v>0</v>
      </c>
      <c r="H92" s="25">
        <f>0</f>
        <v>0</v>
      </c>
      <c r="I92" s="25">
        <f>0</f>
        <v>0</v>
      </c>
      <c r="J92" s="25">
        <f>0</f>
        <v>0</v>
      </c>
      <c r="K92" s="25">
        <f>0</f>
        <v>0</v>
      </c>
      <c r="L92" s="25">
        <f>0</f>
        <v>0</v>
      </c>
      <c r="M92" s="25">
        <f>0</f>
        <v>0</v>
      </c>
      <c r="N92" s="25">
        <f>0</f>
        <v>0</v>
      </c>
      <c r="O92" s="25">
        <f>0</f>
        <v>0</v>
      </c>
    </row>
    <row r="93" spans="1:15" ht="16.5">
      <c r="A93" s="22" t="s">
        <v>163</v>
      </c>
      <c r="B93" s="23" t="s">
        <v>164</v>
      </c>
      <c r="C93" s="46">
        <f>0</f>
        <v>0</v>
      </c>
      <c r="D93" s="47">
        <f>0</f>
        <v>0</v>
      </c>
      <c r="E93" s="24">
        <f>0</f>
        <v>0</v>
      </c>
      <c r="F93" s="25">
        <f>0</f>
        <v>0</v>
      </c>
      <c r="G93" s="25">
        <f>0</f>
        <v>0</v>
      </c>
      <c r="H93" s="25">
        <f>0</f>
        <v>0</v>
      </c>
      <c r="I93" s="25">
        <f>0</f>
        <v>0</v>
      </c>
      <c r="J93" s="25">
        <f>0</f>
        <v>0</v>
      </c>
      <c r="K93" s="25">
        <f>0</f>
        <v>0</v>
      </c>
      <c r="L93" s="25">
        <f>0</f>
        <v>0</v>
      </c>
      <c r="M93" s="25">
        <f>0</f>
        <v>0</v>
      </c>
      <c r="N93" s="25">
        <f>0</f>
        <v>0</v>
      </c>
      <c r="O93" s="25">
        <f>0</f>
        <v>0</v>
      </c>
    </row>
    <row r="94" spans="1:15" ht="24.75">
      <c r="A94" s="22" t="s">
        <v>165</v>
      </c>
      <c r="B94" s="23" t="s">
        <v>166</v>
      </c>
      <c r="C94" s="46">
        <f>0</f>
        <v>0</v>
      </c>
      <c r="D94" s="47">
        <f>0</f>
        <v>0</v>
      </c>
      <c r="E94" s="24">
        <f>0</f>
        <v>0</v>
      </c>
      <c r="F94" s="25">
        <f>0</f>
        <v>0</v>
      </c>
      <c r="G94" s="25">
        <f>0</f>
        <v>0</v>
      </c>
      <c r="H94" s="25">
        <f>0</f>
        <v>0</v>
      </c>
      <c r="I94" s="25">
        <f>0</f>
        <v>0</v>
      </c>
      <c r="J94" s="25">
        <f>0</f>
        <v>0</v>
      </c>
      <c r="K94" s="25">
        <f>0</f>
        <v>0</v>
      </c>
      <c r="L94" s="25">
        <f>0</f>
        <v>0</v>
      </c>
      <c r="M94" s="25">
        <f>0</f>
        <v>0</v>
      </c>
      <c r="N94" s="25">
        <f>0</f>
        <v>0</v>
      </c>
      <c r="O94" s="25">
        <f>0</f>
        <v>0</v>
      </c>
    </row>
    <row r="95" spans="1:15" ht="24.75">
      <c r="A95" s="22" t="s">
        <v>167</v>
      </c>
      <c r="B95" s="23" t="s">
        <v>168</v>
      </c>
      <c r="C95" s="46">
        <f>0</f>
        <v>0</v>
      </c>
      <c r="D95" s="47">
        <f>0</f>
        <v>0</v>
      </c>
      <c r="E95" s="24">
        <f>0</f>
        <v>0</v>
      </c>
      <c r="F95" s="25">
        <f>0</f>
        <v>0</v>
      </c>
      <c r="G95" s="25">
        <f>0</f>
        <v>0</v>
      </c>
      <c r="H95" s="25">
        <f>0</f>
        <v>0</v>
      </c>
      <c r="I95" s="25">
        <f>0</f>
        <v>0</v>
      </c>
      <c r="J95" s="25">
        <f>0</f>
        <v>0</v>
      </c>
      <c r="K95" s="25">
        <f>0</f>
        <v>0</v>
      </c>
      <c r="L95" s="25">
        <f>0</f>
        <v>0</v>
      </c>
      <c r="M95" s="25">
        <f>0</f>
        <v>0</v>
      </c>
      <c r="N95" s="25">
        <f>0</f>
        <v>0</v>
      </c>
      <c r="O95" s="25">
        <f>0</f>
        <v>0</v>
      </c>
    </row>
    <row r="96" spans="1:15" ht="24.75">
      <c r="A96" s="22" t="s">
        <v>169</v>
      </c>
      <c r="B96" s="23" t="s">
        <v>170</v>
      </c>
      <c r="C96" s="46">
        <f>0</f>
        <v>0</v>
      </c>
      <c r="D96" s="47">
        <f>0</f>
        <v>0</v>
      </c>
      <c r="E96" s="24">
        <f>0</f>
        <v>0</v>
      </c>
      <c r="F96" s="25">
        <f>0</f>
        <v>0</v>
      </c>
      <c r="G96" s="25">
        <f>0</f>
        <v>0</v>
      </c>
      <c r="H96" s="25">
        <f>0</f>
        <v>0</v>
      </c>
      <c r="I96" s="25">
        <f>0</f>
        <v>0</v>
      </c>
      <c r="J96" s="25">
        <f>0</f>
        <v>0</v>
      </c>
      <c r="K96" s="25">
        <f>0</f>
        <v>0</v>
      </c>
      <c r="L96" s="25">
        <f>0</f>
        <v>0</v>
      </c>
      <c r="M96" s="25">
        <f>0</f>
        <v>0</v>
      </c>
      <c r="N96" s="25">
        <f>0</f>
        <v>0</v>
      </c>
      <c r="O96" s="25">
        <f>0</f>
        <v>0</v>
      </c>
    </row>
    <row r="97" spans="1:15" ht="16.5">
      <c r="A97" s="22" t="s">
        <v>171</v>
      </c>
      <c r="B97" s="23" t="s">
        <v>172</v>
      </c>
      <c r="C97" s="46">
        <f>0</f>
        <v>0</v>
      </c>
      <c r="D97" s="47">
        <f>0</f>
        <v>0</v>
      </c>
      <c r="E97" s="24">
        <f>0</f>
        <v>0</v>
      </c>
      <c r="F97" s="25">
        <f>0</f>
        <v>0</v>
      </c>
      <c r="G97" s="25">
        <f>0</f>
        <v>0</v>
      </c>
      <c r="H97" s="25">
        <f>0</f>
        <v>0</v>
      </c>
      <c r="I97" s="25">
        <f>0</f>
        <v>0</v>
      </c>
      <c r="J97" s="25">
        <f>0</f>
        <v>0</v>
      </c>
      <c r="K97" s="25">
        <f>0</f>
        <v>0</v>
      </c>
      <c r="L97" s="25">
        <f>0</f>
        <v>0</v>
      </c>
      <c r="M97" s="25">
        <f>0</f>
        <v>0</v>
      </c>
      <c r="N97" s="25">
        <f>0</f>
        <v>0</v>
      </c>
      <c r="O97" s="25">
        <f>0</f>
        <v>0</v>
      </c>
    </row>
    <row r="98" spans="1:15" ht="12.75">
      <c r="A98" s="18">
        <v>14</v>
      </c>
      <c r="B98" s="19" t="s">
        <v>173</v>
      </c>
      <c r="C98" s="48" t="s">
        <v>77</v>
      </c>
      <c r="D98" s="49" t="s">
        <v>77</v>
      </c>
      <c r="E98" s="29" t="s">
        <v>77</v>
      </c>
      <c r="F98" s="30" t="s">
        <v>77</v>
      </c>
      <c r="G98" s="30" t="s">
        <v>77</v>
      </c>
      <c r="H98" s="30" t="s">
        <v>77</v>
      </c>
      <c r="I98" s="30" t="s">
        <v>77</v>
      </c>
      <c r="J98" s="30" t="s">
        <v>77</v>
      </c>
      <c r="K98" s="30" t="s">
        <v>77</v>
      </c>
      <c r="L98" s="30" t="s">
        <v>77</v>
      </c>
      <c r="M98" s="30" t="s">
        <v>77</v>
      </c>
      <c r="N98" s="30" t="s">
        <v>77</v>
      </c>
      <c r="O98" s="30" t="s">
        <v>77</v>
      </c>
    </row>
    <row r="99" spans="1:15" ht="24.75">
      <c r="A99" s="22" t="s">
        <v>174</v>
      </c>
      <c r="B99" s="23" t="s">
        <v>175</v>
      </c>
      <c r="C99" s="46">
        <f>6274073</f>
        <v>6274073</v>
      </c>
      <c r="D99" s="47">
        <f>6207850</f>
        <v>6207850</v>
      </c>
      <c r="E99" s="24">
        <f>287500</f>
        <v>287500</v>
      </c>
      <c r="F99" s="25">
        <f>587500</f>
        <v>587500</v>
      </c>
      <c r="G99" s="25">
        <f>437500</f>
        <v>437500</v>
      </c>
      <c r="H99" s="25">
        <f>1426300</f>
        <v>1426300</v>
      </c>
      <c r="I99" s="25">
        <f>1419400</f>
        <v>1419400</v>
      </c>
      <c r="J99" s="25">
        <f>1567206</f>
        <v>1567206</v>
      </c>
      <c r="K99" s="25">
        <f>1612200</f>
        <v>1612200</v>
      </c>
      <c r="L99" s="25">
        <f>1726510.65</f>
        <v>1726510.65</v>
      </c>
      <c r="M99" s="25">
        <f>1726510.65</f>
        <v>1726510.65</v>
      </c>
      <c r="N99" s="25">
        <f>1726579.65</f>
        <v>1726579.65</v>
      </c>
      <c r="O99" s="25">
        <f>504353.52</f>
        <v>504353.52</v>
      </c>
    </row>
    <row r="100" spans="1:15" ht="16.5">
      <c r="A100" s="22" t="s">
        <v>176</v>
      </c>
      <c r="B100" s="23" t="s">
        <v>177</v>
      </c>
      <c r="C100" s="46">
        <f>810445.25</f>
        <v>810445.25</v>
      </c>
      <c r="D100" s="47">
        <f>1461937.12</f>
        <v>1461937.12</v>
      </c>
      <c r="E100" s="24">
        <f>0</f>
        <v>0</v>
      </c>
      <c r="F100" s="25">
        <f>0</f>
        <v>0</v>
      </c>
      <c r="G100" s="25">
        <f>0</f>
        <v>0</v>
      </c>
      <c r="H100" s="25">
        <f>0</f>
        <v>0</v>
      </c>
      <c r="I100" s="25">
        <f>0</f>
        <v>0</v>
      </c>
      <c r="J100" s="25">
        <f>0</f>
        <v>0</v>
      </c>
      <c r="K100" s="25">
        <f>0</f>
        <v>0</v>
      </c>
      <c r="L100" s="25">
        <f>0</f>
        <v>0</v>
      </c>
      <c r="M100" s="25">
        <f>0</f>
        <v>0</v>
      </c>
      <c r="N100" s="25">
        <f>0</f>
        <v>0</v>
      </c>
      <c r="O100" s="25">
        <f>0</f>
        <v>0</v>
      </c>
    </row>
    <row r="101" spans="1:15" ht="12.75">
      <c r="A101" s="22" t="s">
        <v>178</v>
      </c>
      <c r="B101" s="23" t="s">
        <v>179</v>
      </c>
      <c r="C101" s="46">
        <f>0</f>
        <v>0</v>
      </c>
      <c r="D101" s="47">
        <f>0</f>
        <v>0</v>
      </c>
      <c r="E101" s="24">
        <f>1461937.12</f>
        <v>1461937.12</v>
      </c>
      <c r="F101" s="25">
        <f>0</f>
        <v>0</v>
      </c>
      <c r="G101" s="25">
        <f>0</f>
        <v>0</v>
      </c>
      <c r="H101" s="25">
        <f>0</f>
        <v>0</v>
      </c>
      <c r="I101" s="25">
        <f>0</f>
        <v>0</v>
      </c>
      <c r="J101" s="25">
        <f>0</f>
        <v>0</v>
      </c>
      <c r="K101" s="25">
        <f>0</f>
        <v>0</v>
      </c>
      <c r="L101" s="25">
        <f>0</f>
        <v>0</v>
      </c>
      <c r="M101" s="25">
        <f>0</f>
        <v>0</v>
      </c>
      <c r="N101" s="25">
        <f>0</f>
        <v>0</v>
      </c>
      <c r="O101" s="25">
        <f>0</f>
        <v>0</v>
      </c>
    </row>
    <row r="102" spans="1:15" ht="16.5">
      <c r="A102" s="22" t="s">
        <v>180</v>
      </c>
      <c r="B102" s="26" t="s">
        <v>181</v>
      </c>
      <c r="C102" s="46">
        <f>0</f>
        <v>0</v>
      </c>
      <c r="D102" s="47">
        <f>0</f>
        <v>0</v>
      </c>
      <c r="E102" s="24">
        <f>1461937.12</f>
        <v>1461937.12</v>
      </c>
      <c r="F102" s="25">
        <f>0</f>
        <v>0</v>
      </c>
      <c r="G102" s="25">
        <f>0</f>
        <v>0</v>
      </c>
      <c r="H102" s="25">
        <f>0</f>
        <v>0</v>
      </c>
      <c r="I102" s="25">
        <f>0</f>
        <v>0</v>
      </c>
      <c r="J102" s="25">
        <f>0</f>
        <v>0</v>
      </c>
      <c r="K102" s="25">
        <f>0</f>
        <v>0</v>
      </c>
      <c r="L102" s="25">
        <f>0</f>
        <v>0</v>
      </c>
      <c r="M102" s="25">
        <f>0</f>
        <v>0</v>
      </c>
      <c r="N102" s="25">
        <f>0</f>
        <v>0</v>
      </c>
      <c r="O102" s="25">
        <f>0</f>
        <v>0</v>
      </c>
    </row>
    <row r="103" spans="1:15" ht="16.5">
      <c r="A103" s="22" t="s">
        <v>182</v>
      </c>
      <c r="B103" s="26" t="s">
        <v>183</v>
      </c>
      <c r="C103" s="46">
        <f>0</f>
        <v>0</v>
      </c>
      <c r="D103" s="47">
        <f>0</f>
        <v>0</v>
      </c>
      <c r="E103" s="24">
        <f>0</f>
        <v>0</v>
      </c>
      <c r="F103" s="25">
        <f>0</f>
        <v>0</v>
      </c>
      <c r="G103" s="25">
        <f>0</f>
        <v>0</v>
      </c>
      <c r="H103" s="25">
        <f>0</f>
        <v>0</v>
      </c>
      <c r="I103" s="25">
        <f>0</f>
        <v>0</v>
      </c>
      <c r="J103" s="25">
        <f>0</f>
        <v>0</v>
      </c>
      <c r="K103" s="25">
        <f>0</f>
        <v>0</v>
      </c>
      <c r="L103" s="25">
        <f>0</f>
        <v>0</v>
      </c>
      <c r="M103" s="25">
        <f>0</f>
        <v>0</v>
      </c>
      <c r="N103" s="25">
        <f>0</f>
        <v>0</v>
      </c>
      <c r="O103" s="25">
        <f>0</f>
        <v>0</v>
      </c>
    </row>
    <row r="104" spans="1:15" ht="12.75">
      <c r="A104" s="22" t="s">
        <v>184</v>
      </c>
      <c r="B104" s="26" t="s">
        <v>185</v>
      </c>
      <c r="C104" s="46">
        <f>0</f>
        <v>0</v>
      </c>
      <c r="D104" s="47">
        <f>0</f>
        <v>0</v>
      </c>
      <c r="E104" s="24">
        <f>0</f>
        <v>0</v>
      </c>
      <c r="F104" s="25">
        <f>0</f>
        <v>0</v>
      </c>
      <c r="G104" s="25">
        <f>0</f>
        <v>0</v>
      </c>
      <c r="H104" s="25">
        <f>0</f>
        <v>0</v>
      </c>
      <c r="I104" s="25">
        <f>0</f>
        <v>0</v>
      </c>
      <c r="J104" s="25">
        <f>0</f>
        <v>0</v>
      </c>
      <c r="K104" s="25">
        <f>0</f>
        <v>0</v>
      </c>
      <c r="L104" s="25">
        <f>0</f>
        <v>0</v>
      </c>
      <c r="M104" s="25">
        <f>0</f>
        <v>0</v>
      </c>
      <c r="N104" s="25">
        <f>0</f>
        <v>0</v>
      </c>
      <c r="O104" s="25">
        <f>0</f>
        <v>0</v>
      </c>
    </row>
    <row r="105" spans="1:15" ht="16.5">
      <c r="A105" s="22" t="s">
        <v>186</v>
      </c>
      <c r="B105" s="23" t="s">
        <v>187</v>
      </c>
      <c r="C105" s="46">
        <f>0</f>
        <v>0</v>
      </c>
      <c r="D105" s="47">
        <f>0</f>
        <v>0</v>
      </c>
      <c r="E105" s="24">
        <f>0</f>
        <v>0</v>
      </c>
      <c r="F105" s="25">
        <f>0</f>
        <v>0</v>
      </c>
      <c r="G105" s="25">
        <f>0</f>
        <v>0</v>
      </c>
      <c r="H105" s="25">
        <f>0</f>
        <v>0</v>
      </c>
      <c r="I105" s="25">
        <f>0</f>
        <v>0</v>
      </c>
      <c r="J105" s="25">
        <f>0</f>
        <v>0</v>
      </c>
      <c r="K105" s="25">
        <f>0</f>
        <v>0</v>
      </c>
      <c r="L105" s="25">
        <f>0</f>
        <v>0</v>
      </c>
      <c r="M105" s="25">
        <f>0</f>
        <v>0</v>
      </c>
      <c r="N105" s="25">
        <f>0</f>
        <v>0</v>
      </c>
      <c r="O105" s="25">
        <f>0</f>
        <v>0</v>
      </c>
    </row>
    <row r="106" spans="1:15" ht="12.75">
      <c r="A106" s="18">
        <v>15</v>
      </c>
      <c r="B106" s="19" t="s">
        <v>188</v>
      </c>
      <c r="C106" s="48" t="s">
        <v>77</v>
      </c>
      <c r="D106" s="49" t="s">
        <v>77</v>
      </c>
      <c r="E106" s="29" t="s">
        <v>77</v>
      </c>
      <c r="F106" s="30" t="s">
        <v>77</v>
      </c>
      <c r="G106" s="30" t="s">
        <v>77</v>
      </c>
      <c r="H106" s="30" t="s">
        <v>77</v>
      </c>
      <c r="I106" s="30" t="s">
        <v>77</v>
      </c>
      <c r="J106" s="30" t="s">
        <v>77</v>
      </c>
      <c r="K106" s="30" t="s">
        <v>77</v>
      </c>
      <c r="L106" s="30" t="s">
        <v>77</v>
      </c>
      <c r="M106" s="30" t="s">
        <v>77</v>
      </c>
      <c r="N106" s="30" t="s">
        <v>77</v>
      </c>
      <c r="O106" s="30" t="s">
        <v>77</v>
      </c>
    </row>
    <row r="107" spans="1:15" ht="16.5">
      <c r="A107" s="22" t="s">
        <v>189</v>
      </c>
      <c r="B107" s="23" t="s">
        <v>190</v>
      </c>
      <c r="C107" s="46">
        <f>0</f>
        <v>0</v>
      </c>
      <c r="D107" s="47">
        <f>0</f>
        <v>0</v>
      </c>
      <c r="E107" s="24">
        <f>0</f>
        <v>0</v>
      </c>
      <c r="F107" s="25">
        <f>0</f>
        <v>0</v>
      </c>
      <c r="G107" s="25">
        <f>0</f>
        <v>0</v>
      </c>
      <c r="H107" s="25">
        <f>0</f>
        <v>0</v>
      </c>
      <c r="I107" s="25">
        <f>0</f>
        <v>0</v>
      </c>
      <c r="J107" s="25">
        <f>0</f>
        <v>0</v>
      </c>
      <c r="K107" s="25">
        <f>0</f>
        <v>0</v>
      </c>
      <c r="L107" s="25">
        <f>0</f>
        <v>0</v>
      </c>
      <c r="M107" s="25">
        <f>0</f>
        <v>0</v>
      </c>
      <c r="N107" s="25">
        <f>0</f>
        <v>0</v>
      </c>
      <c r="O107" s="25">
        <f>0</f>
        <v>0</v>
      </c>
    </row>
    <row r="108" spans="1:15" ht="12.75">
      <c r="A108" s="22" t="s">
        <v>191</v>
      </c>
      <c r="B108" s="26" t="s">
        <v>192</v>
      </c>
      <c r="C108" s="46">
        <f>0</f>
        <v>0</v>
      </c>
      <c r="D108" s="47">
        <f>0</f>
        <v>0</v>
      </c>
      <c r="E108" s="24">
        <f>0</f>
        <v>0</v>
      </c>
      <c r="F108" s="25">
        <f>0</f>
        <v>0</v>
      </c>
      <c r="G108" s="25">
        <f>0</f>
        <v>0</v>
      </c>
      <c r="H108" s="25">
        <f>0</f>
        <v>0</v>
      </c>
      <c r="I108" s="25">
        <f>0</f>
        <v>0</v>
      </c>
      <c r="J108" s="25">
        <f>0</f>
        <v>0</v>
      </c>
      <c r="K108" s="25">
        <f>0</f>
        <v>0</v>
      </c>
      <c r="L108" s="25">
        <f>0</f>
        <v>0</v>
      </c>
      <c r="M108" s="25">
        <f>0</f>
        <v>0</v>
      </c>
      <c r="N108" s="25">
        <f>0</f>
        <v>0</v>
      </c>
      <c r="O108" s="25">
        <f>0</f>
        <v>0</v>
      </c>
    </row>
    <row r="109" spans="1:15" ht="24.75">
      <c r="A109" s="40" t="s">
        <v>193</v>
      </c>
      <c r="B109" s="41" t="s">
        <v>194</v>
      </c>
      <c r="C109" s="52">
        <f>0</f>
        <v>0</v>
      </c>
      <c r="D109" s="53">
        <f>0</f>
        <v>0</v>
      </c>
      <c r="E109" s="42">
        <f>0</f>
        <v>0</v>
      </c>
      <c r="F109" s="43">
        <f>0</f>
        <v>0</v>
      </c>
      <c r="G109" s="43">
        <f>0</f>
        <v>0</v>
      </c>
      <c r="H109" s="43">
        <f>0</f>
        <v>0</v>
      </c>
      <c r="I109" s="43">
        <f>0</f>
        <v>0</v>
      </c>
      <c r="J109" s="43">
        <f>0</f>
        <v>0</v>
      </c>
      <c r="K109" s="43">
        <f>0</f>
        <v>0</v>
      </c>
      <c r="L109" s="43">
        <f>0</f>
        <v>0</v>
      </c>
      <c r="M109" s="43">
        <f>0</f>
        <v>0</v>
      </c>
      <c r="N109" s="43">
        <f>0</f>
        <v>0</v>
      </c>
      <c r="O109" s="43">
        <f>0</f>
        <v>0</v>
      </c>
    </row>
  </sheetData>
  <sheetProtection/>
  <conditionalFormatting sqref="E56:O57">
    <cfRule type="expression" priority="1" dxfId="0" stopIfTrue="1">
      <formula>LEFT(E56,3)="Nie"</formula>
    </cfRule>
  </conditionalFormatting>
  <printOptions/>
  <pageMargins left="0.15748031496062992" right="0.15748031496062992" top="0.1968503937007874" bottom="0.1968503937007874" header="0.1574803149606299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Manowo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 Tomaszewska</dc:creator>
  <cp:keywords/>
  <dc:description/>
  <cp:lastModifiedBy>mariusz</cp:lastModifiedBy>
  <cp:lastPrinted>2014-03-26T07:16:03Z</cp:lastPrinted>
  <dcterms:created xsi:type="dcterms:W3CDTF">2014-03-20T09:21:26Z</dcterms:created>
  <dcterms:modified xsi:type="dcterms:W3CDTF">2014-07-03T08:57:56Z</dcterms:modified>
  <cp:category/>
  <cp:version/>
  <cp:contentType/>
  <cp:contentStatus/>
</cp:coreProperties>
</file>